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15" yWindow="-15" windowWidth="9600" windowHeight="8805" tabRatio="741"/>
  </bookViews>
  <sheets>
    <sheet name="Instructions" sheetId="22" r:id="rId1"/>
    <sheet name="Summary" sheetId="18" r:id="rId2"/>
    <sheet name="Forecast to Actual" sheetId="19" r:id="rId3"/>
    <sheet name="Offerings calcs analysis" sheetId="21" r:id="rId4"/>
    <sheet name="Revenue projections" sheetId="16" r:id="rId5"/>
    <sheet name="Attendance analysis" sheetId="15" r:id="rId6"/>
    <sheet name="Attendee giving analysis" sheetId="14" r:id="rId7"/>
    <sheet name="Source data" sheetId="13" r:id="rId8"/>
  </sheets>
  <definedNames>
    <definedName name="Attend" localSheetId="2">'Forecast to Actual'!$J$7</definedName>
    <definedName name="Attend">'Revenue projections'!$I$7</definedName>
    <definedName name="BudgetedOffering">'Forecast to Actual'!$J$144</definedName>
    <definedName name="BudgetedTotalRevenue">'Forecast to Actual'!$J$75</definedName>
    <definedName name="Client">Summary!$A$1</definedName>
    <definedName name="Date">Summary!$A$4</definedName>
    <definedName name="FileName">Summary!$A$2</definedName>
    <definedName name="PercentOfYear">Summary!$X$4</definedName>
    <definedName name="ProjBudgetTrigger">'Offerings calcs analysis'!$R$3</definedName>
    <definedName name="Rate" localSheetId="2">'Forecast to Actual'!$J$10</definedName>
    <definedName name="Rate">'Revenue projections'!$I$10</definedName>
    <definedName name="RecentWeek">Summary!$X$5</definedName>
  </definedNames>
  <calcPr calcId="145621" concurrentCalc="0"/>
</workbook>
</file>

<file path=xl/calcChain.xml><?xml version="1.0" encoding="utf-8"?>
<calcChain xmlns="http://schemas.openxmlformats.org/spreadsheetml/2006/main">
  <c r="Q14" i="18"/>
  <c r="Q8"/>
  <c r="BI32" i="13"/>
  <c r="BI31"/>
  <c r="BI39"/>
  <c r="BW60"/>
  <c r="BW34"/>
  <c r="BW31"/>
  <c r="BW30"/>
  <c r="BW25"/>
  <c r="E137" i="19"/>
  <c r="G137"/>
  <c r="E91"/>
  <c r="G91"/>
  <c r="E99"/>
  <c r="G99"/>
  <c r="E103"/>
  <c r="G103"/>
  <c r="DF30" i="13"/>
  <c r="J90" i="14"/>
  <c r="S90"/>
  <c r="E108" i="19"/>
  <c r="G108"/>
  <c r="DF31" i="13"/>
  <c r="J91" i="14"/>
  <c r="S91"/>
  <c r="E109" i="19"/>
  <c r="G109"/>
  <c r="DF34" i="13"/>
  <c r="J94" i="14"/>
  <c r="S94"/>
  <c r="E112" i="19"/>
  <c r="G112"/>
  <c r="DF35" i="13"/>
  <c r="J95" i="14"/>
  <c r="S95"/>
  <c r="E113" i="19"/>
  <c r="G113"/>
  <c r="DF39" i="13"/>
  <c r="J99" i="14"/>
  <c r="S99"/>
  <c r="E117" i="19"/>
  <c r="G117"/>
  <c r="DF32" i="13"/>
  <c r="J92" i="14"/>
  <c r="S92"/>
  <c r="E110" i="19"/>
  <c r="G110"/>
  <c r="E92"/>
  <c r="G92"/>
  <c r="E95"/>
  <c r="G95"/>
  <c r="E98"/>
  <c r="G98"/>
  <c r="E101"/>
  <c r="G101"/>
  <c r="E102"/>
  <c r="G102"/>
  <c r="E96"/>
  <c r="G96"/>
  <c r="E97"/>
  <c r="G97"/>
  <c r="E100"/>
  <c r="G100"/>
  <c r="E88"/>
  <c r="G88"/>
  <c r="DF36" i="13"/>
  <c r="J96" i="14"/>
  <c r="S96"/>
  <c r="E114" i="19"/>
  <c r="G114"/>
  <c r="DF37" i="13"/>
  <c r="J97" i="14"/>
  <c r="S97"/>
  <c r="E115" i="19"/>
  <c r="G115"/>
  <c r="DF38" i="13"/>
  <c r="J98" i="14"/>
  <c r="S98"/>
  <c r="E116" i="19"/>
  <c r="G116"/>
  <c r="DF46" i="13"/>
  <c r="J106" i="14"/>
  <c r="S106"/>
  <c r="E124" i="19"/>
  <c r="G124"/>
  <c r="DF47" i="13"/>
  <c r="J107" i="14"/>
  <c r="S107"/>
  <c r="E125" i="19"/>
  <c r="G125"/>
  <c r="E126"/>
  <c r="G126"/>
  <c r="E127"/>
  <c r="G127"/>
  <c r="E128"/>
  <c r="G128"/>
  <c r="E129"/>
  <c r="G129"/>
  <c r="E87"/>
  <c r="G87"/>
  <c r="E89"/>
  <c r="G89"/>
  <c r="E90"/>
  <c r="G90"/>
  <c r="E93"/>
  <c r="G93"/>
  <c r="E94"/>
  <c r="G94"/>
  <c r="DF40" i="13"/>
  <c r="J100" i="14"/>
  <c r="S100"/>
  <c r="E118" i="19"/>
  <c r="G118"/>
  <c r="DF41" i="13"/>
  <c r="J101" i="14"/>
  <c r="S101"/>
  <c r="E119" i="19"/>
  <c r="G119"/>
  <c r="DF42" i="13"/>
  <c r="J102" i="14"/>
  <c r="S102"/>
  <c r="E120" i="19"/>
  <c r="G120"/>
  <c r="E133"/>
  <c r="G133"/>
  <c r="E134"/>
  <c r="G134"/>
  <c r="E86"/>
  <c r="G86"/>
  <c r="E104"/>
  <c r="G104"/>
  <c r="E105"/>
  <c r="G105"/>
  <c r="E106"/>
  <c r="G106"/>
  <c r="E107"/>
  <c r="G107"/>
  <c r="DF33" i="13"/>
  <c r="J93" i="14"/>
  <c r="S93"/>
  <c r="E111" i="19"/>
  <c r="G111"/>
  <c r="DF43" i="13"/>
  <c r="J103" i="14"/>
  <c r="S103"/>
  <c r="E121" i="19"/>
  <c r="G121"/>
  <c r="DF44" i="13"/>
  <c r="J104" i="14"/>
  <c r="S104"/>
  <c r="E122" i="19"/>
  <c r="G122"/>
  <c r="DF45" i="13"/>
  <c r="J105" i="14"/>
  <c r="S105"/>
  <c r="E123" i="19"/>
  <c r="G123"/>
  <c r="G139"/>
  <c r="J116"/>
  <c r="J117"/>
  <c r="J118"/>
  <c r="J119"/>
  <c r="J86"/>
  <c r="J87"/>
  <c r="J88"/>
  <c r="J89"/>
  <c r="J90"/>
  <c r="J91"/>
  <c r="J92"/>
  <c r="J93"/>
  <c r="J94"/>
  <c r="J95"/>
  <c r="J96"/>
  <c r="J97"/>
  <c r="J98"/>
  <c r="J99"/>
  <c r="J100"/>
  <c r="J101"/>
  <c r="J102"/>
  <c r="J103"/>
  <c r="J104"/>
  <c r="J105"/>
  <c r="J106"/>
  <c r="J107"/>
  <c r="J108"/>
  <c r="J109"/>
  <c r="J110"/>
  <c r="J111"/>
  <c r="J112"/>
  <c r="J113"/>
  <c r="J114"/>
  <c r="J115"/>
  <c r="J120"/>
  <c r="J121"/>
  <c r="J122"/>
  <c r="J123"/>
  <c r="J124"/>
  <c r="J125"/>
  <c r="J126"/>
  <c r="J127"/>
  <c r="J128"/>
  <c r="J129"/>
  <c r="J130"/>
  <c r="J131"/>
  <c r="J132"/>
  <c r="J133"/>
  <c r="J134"/>
  <c r="J135"/>
  <c r="J136"/>
  <c r="J137"/>
  <c r="M9" i="21"/>
  <c r="BW58" i="13"/>
  <c r="BW57"/>
  <c r="BW54"/>
  <c r="BW53"/>
  <c r="BW52"/>
  <c r="BW45"/>
  <c r="BW44"/>
  <c r="BW43"/>
  <c r="BW39"/>
  <c r="BW33"/>
  <c r="BW32"/>
  <c r="BW29"/>
  <c r="BW28"/>
  <c r="BW27"/>
  <c r="BW26"/>
  <c r="BW8"/>
  <c r="AU60"/>
  <c r="AU59"/>
  <c r="AU58"/>
  <c r="AU57"/>
  <c r="AU56"/>
  <c r="AU55"/>
  <c r="AU54"/>
  <c r="AU53"/>
  <c r="AU52"/>
  <c r="AU51"/>
  <c r="AU50"/>
  <c r="AU49"/>
  <c r="AU48"/>
  <c r="AU47"/>
  <c r="AU46"/>
  <c r="AU45"/>
  <c r="AU44"/>
  <c r="AU43"/>
  <c r="AU42"/>
  <c r="AU41"/>
  <c r="AU40"/>
  <c r="AU39"/>
  <c r="AU38"/>
  <c r="AU37"/>
  <c r="AU36"/>
  <c r="AU35"/>
  <c r="AU34"/>
  <c r="AU33"/>
  <c r="AU32"/>
  <c r="AU31"/>
  <c r="AU30"/>
  <c r="AU29"/>
  <c r="AU28"/>
  <c r="AU27"/>
  <c r="AU26"/>
  <c r="AU25"/>
  <c r="AU24"/>
  <c r="AU23"/>
  <c r="AU22"/>
  <c r="AU21"/>
  <c r="AU20"/>
  <c r="AU19"/>
  <c r="AU18"/>
  <c r="AU17"/>
  <c r="AU16"/>
  <c r="AU15"/>
  <c r="AU14"/>
  <c r="AU13"/>
  <c r="AU12"/>
  <c r="AU11"/>
  <c r="AU10"/>
  <c r="AU9"/>
  <c r="AU8"/>
  <c r="BI60"/>
  <c r="BI59"/>
  <c r="BI58"/>
  <c r="BI57"/>
  <c r="BI56"/>
  <c r="BI55"/>
  <c r="BI54"/>
  <c r="BI53"/>
  <c r="BI52"/>
  <c r="BI51"/>
  <c r="BI50"/>
  <c r="BI49"/>
  <c r="BI48"/>
  <c r="BI47"/>
  <c r="BI46"/>
  <c r="BI45"/>
  <c r="BI44"/>
  <c r="BI43"/>
  <c r="BI42"/>
  <c r="BI41"/>
  <c r="BI40"/>
  <c r="BI38"/>
  <c r="BI37"/>
  <c r="BI36"/>
  <c r="BI35"/>
  <c r="BI34"/>
  <c r="BI33"/>
  <c r="BI30"/>
  <c r="BI29"/>
  <c r="BI28"/>
  <c r="BI27"/>
  <c r="BI26"/>
  <c r="BI25"/>
  <c r="BI24"/>
  <c r="BI23"/>
  <c r="BI22"/>
  <c r="BI21"/>
  <c r="BI20"/>
  <c r="BI19"/>
  <c r="BI18"/>
  <c r="BI17"/>
  <c r="BI16"/>
  <c r="BI15"/>
  <c r="BI14"/>
  <c r="BI13"/>
  <c r="BI12"/>
  <c r="BI11"/>
  <c r="BI10"/>
  <c r="BI9"/>
  <c r="BI8"/>
  <c r="S60"/>
  <c r="S59"/>
  <c r="S58"/>
  <c r="S57"/>
  <c r="S56"/>
  <c r="S55"/>
  <c r="S54"/>
  <c r="S53"/>
  <c r="S52"/>
  <c r="S51"/>
  <c r="S50"/>
  <c r="S48"/>
  <c r="S47"/>
  <c r="S46"/>
  <c r="S45"/>
  <c r="S44"/>
  <c r="S43"/>
  <c r="S42"/>
  <c r="S41"/>
  <c r="S40"/>
  <c r="S39"/>
  <c r="S38"/>
  <c r="S37"/>
  <c r="S36"/>
  <c r="S35"/>
  <c r="S34"/>
  <c r="S33"/>
  <c r="S32"/>
  <c r="S31"/>
  <c r="S30"/>
  <c r="S29"/>
  <c r="S28"/>
  <c r="S27"/>
  <c r="S26"/>
  <c r="S25"/>
  <c r="S24"/>
  <c r="S23"/>
  <c r="S22"/>
  <c r="S21"/>
  <c r="S20"/>
  <c r="S19"/>
  <c r="S18"/>
  <c r="S17"/>
  <c r="S16"/>
  <c r="S14"/>
  <c r="S13"/>
  <c r="S11"/>
  <c r="S10"/>
  <c r="N17" i="19"/>
  <c r="N18"/>
  <c r="N19"/>
  <c r="N20"/>
  <c r="N21"/>
  <c r="N22"/>
  <c r="N23"/>
  <c r="N24"/>
  <c r="N25"/>
  <c r="N26"/>
  <c r="N27"/>
  <c r="N28"/>
  <c r="N29"/>
  <c r="N30"/>
  <c r="N31"/>
  <c r="N32"/>
  <c r="N33"/>
  <c r="N34"/>
  <c r="N35"/>
  <c r="N36"/>
  <c r="N37"/>
  <c r="N38"/>
  <c r="N39"/>
  <c r="N40"/>
  <c r="N41"/>
  <c r="N42"/>
  <c r="N43"/>
  <c r="N44"/>
  <c r="N45"/>
  <c r="N46"/>
  <c r="X5" i="18"/>
  <c r="P8"/>
  <c r="P14"/>
  <c r="O8"/>
  <c r="O14"/>
  <c r="N14"/>
  <c r="N8"/>
  <c r="M14"/>
  <c r="M8"/>
  <c r="L14"/>
  <c r="L8"/>
  <c r="K14"/>
  <c r="K8"/>
  <c r="J14"/>
  <c r="J8"/>
  <c r="I8"/>
  <c r="I14"/>
  <c r="H14"/>
  <c r="H8"/>
  <c r="A1" i="16"/>
  <c r="M8" i="13"/>
  <c r="DT59"/>
  <c r="P137" i="19"/>
  <c r="DT58" i="13"/>
  <c r="P136" i="19"/>
  <c r="DT57" i="13"/>
  <c r="P135" i="19"/>
  <c r="DT56" i="13"/>
  <c r="P134" i="19"/>
  <c r="DT55" i="13"/>
  <c r="P133" i="19"/>
  <c r="DT54" i="13"/>
  <c r="P132" i="19"/>
  <c r="DT53" i="13"/>
  <c r="P131" i="19"/>
  <c r="DT52" i="13"/>
  <c r="P130" i="19"/>
  <c r="DT51" i="13"/>
  <c r="P129" i="19"/>
  <c r="DT50" i="13"/>
  <c r="P128" i="19"/>
  <c r="DT49" i="13"/>
  <c r="P127" i="19"/>
  <c r="DT48" i="13"/>
  <c r="P126" i="19"/>
  <c r="DT47" i="13"/>
  <c r="P125" i="19"/>
  <c r="DT46" i="13"/>
  <c r="P124" i="19"/>
  <c r="DT45" i="13"/>
  <c r="P123" i="19"/>
  <c r="DT44" i="13"/>
  <c r="P122" i="19"/>
  <c r="DT43" i="13"/>
  <c r="P121" i="19"/>
  <c r="DT42" i="13"/>
  <c r="P120" i="19"/>
  <c r="DT41" i="13"/>
  <c r="P119" i="19"/>
  <c r="DT40" i="13"/>
  <c r="P118" i="19"/>
  <c r="DT39" i="13"/>
  <c r="P117" i="19"/>
  <c r="DT38" i="13"/>
  <c r="P116" i="19"/>
  <c r="DT37" i="13"/>
  <c r="P115" i="19"/>
  <c r="DT36" i="13"/>
  <c r="P114" i="19"/>
  <c r="DT35" i="13"/>
  <c r="P113" i="19"/>
  <c r="DT34" i="13"/>
  <c r="P112" i="19"/>
  <c r="DT33" i="13"/>
  <c r="P111" i="19"/>
  <c r="DT32" i="13"/>
  <c r="P110" i="19"/>
  <c r="DT31" i="13"/>
  <c r="P109" i="19"/>
  <c r="DT30" i="13"/>
  <c r="P108" i="19"/>
  <c r="DT29" i="13"/>
  <c r="P107" i="19"/>
  <c r="DT28" i="13"/>
  <c r="P106" i="19"/>
  <c r="DT27" i="13"/>
  <c r="P105" i="19"/>
  <c r="DT26" i="13"/>
  <c r="P104" i="19"/>
  <c r="DT25" i="13"/>
  <c r="P103" i="19"/>
  <c r="DT24" i="13"/>
  <c r="P102" i="19"/>
  <c r="DT23" i="13"/>
  <c r="P101" i="19"/>
  <c r="DT22" i="13"/>
  <c r="P100" i="19"/>
  <c r="DT21" i="13"/>
  <c r="P99" i="19"/>
  <c r="DT20" i="13"/>
  <c r="P98" i="19"/>
  <c r="DT19" i="13"/>
  <c r="P97" i="19"/>
  <c r="DT18" i="13"/>
  <c r="P96" i="19"/>
  <c r="DT17" i="13"/>
  <c r="P95" i="19"/>
  <c r="DT16" i="13"/>
  <c r="P94" i="19"/>
  <c r="DT15" i="13"/>
  <c r="P93" i="19"/>
  <c r="DT14" i="13"/>
  <c r="P92" i="19"/>
  <c r="DT13" i="13"/>
  <c r="P91" i="19"/>
  <c r="DT12" i="13"/>
  <c r="P90" i="19"/>
  <c r="DT11" i="13"/>
  <c r="P89" i="19"/>
  <c r="DT10" i="13"/>
  <c r="P88" i="19"/>
  <c r="DT9" i="13"/>
  <c r="P87" i="19"/>
  <c r="DT8" i="13"/>
  <c r="P86" i="19"/>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DW59" i="13"/>
  <c r="P68" i="19"/>
  <c r="DW58" i="13"/>
  <c r="P67" i="19"/>
  <c r="DW57" i="13"/>
  <c r="P66" i="19"/>
  <c r="DW56" i="13"/>
  <c r="P65" i="19"/>
  <c r="DW55" i="13"/>
  <c r="P64" i="19"/>
  <c r="DW54" i="13"/>
  <c r="P63" i="19"/>
  <c r="DW53" i="13"/>
  <c r="P62" i="19"/>
  <c r="DW52" i="13"/>
  <c r="P61" i="19"/>
  <c r="DW51" i="13"/>
  <c r="P60" i="19"/>
  <c r="DW50" i="13"/>
  <c r="P59" i="19"/>
  <c r="DW49" i="13"/>
  <c r="P58" i="19"/>
  <c r="DW48" i="13"/>
  <c r="P57" i="19"/>
  <c r="DW47" i="13"/>
  <c r="P56" i="19"/>
  <c r="DW46" i="13"/>
  <c r="P55" i="19"/>
  <c r="DW45" i="13"/>
  <c r="P54" i="19"/>
  <c r="DW44" i="13"/>
  <c r="P53" i="19"/>
  <c r="DW43" i="13"/>
  <c r="P52" i="19"/>
  <c r="DW42" i="13"/>
  <c r="P51" i="19"/>
  <c r="DW41" i="13"/>
  <c r="P50" i="19"/>
  <c r="DW40" i="13"/>
  <c r="P49" i="19"/>
  <c r="DW39" i="13"/>
  <c r="P48" i="19"/>
  <c r="DW38" i="13"/>
  <c r="P47" i="19"/>
  <c r="DU37" i="13"/>
  <c r="DV37"/>
  <c r="DW37"/>
  <c r="P46" i="19"/>
  <c r="DU36" i="13"/>
  <c r="DV36"/>
  <c r="DW36"/>
  <c r="P45" i="19"/>
  <c r="DU35" i="13"/>
  <c r="DV35"/>
  <c r="DW35"/>
  <c r="P44" i="19"/>
  <c r="DU34" i="13"/>
  <c r="DV34"/>
  <c r="DW34"/>
  <c r="P43" i="19"/>
  <c r="DU33" i="13"/>
  <c r="DV33"/>
  <c r="DW33"/>
  <c r="P42" i="19"/>
  <c r="DU32" i="13"/>
  <c r="DV32"/>
  <c r="DW32"/>
  <c r="P41" i="19"/>
  <c r="DU31" i="13"/>
  <c r="DV31"/>
  <c r="DW31"/>
  <c r="P40" i="19"/>
  <c r="DU30" i="13"/>
  <c r="DV30"/>
  <c r="DW30"/>
  <c r="P39" i="19"/>
  <c r="DU29" i="13"/>
  <c r="DV29"/>
  <c r="DW29"/>
  <c r="P38" i="19"/>
  <c r="DU28" i="13"/>
  <c r="DV28"/>
  <c r="DW28"/>
  <c r="P37" i="19"/>
  <c r="DU27" i="13"/>
  <c r="DV27"/>
  <c r="DW27"/>
  <c r="P36" i="19"/>
  <c r="DU26" i="13"/>
  <c r="DV26"/>
  <c r="DW26"/>
  <c r="P35" i="19"/>
  <c r="DU25" i="13"/>
  <c r="DV25"/>
  <c r="DW25"/>
  <c r="P34" i="19"/>
  <c r="DU24" i="13"/>
  <c r="DV24"/>
  <c r="DW24"/>
  <c r="P33" i="19"/>
  <c r="DU23" i="13"/>
  <c r="DV23"/>
  <c r="DW23"/>
  <c r="P32" i="19"/>
  <c r="DU22" i="13"/>
  <c r="DV22"/>
  <c r="DW22"/>
  <c r="P31" i="19"/>
  <c r="DU21" i="13"/>
  <c r="DV21"/>
  <c r="DW21"/>
  <c r="P30" i="19"/>
  <c r="DU20" i="13"/>
  <c r="DV20"/>
  <c r="DW20"/>
  <c r="P29" i="19"/>
  <c r="DU19" i="13"/>
  <c r="DV19"/>
  <c r="DW19"/>
  <c r="P28" i="19"/>
  <c r="DU18" i="13"/>
  <c r="DV18"/>
  <c r="DW18"/>
  <c r="P27" i="19"/>
  <c r="DU17" i="13"/>
  <c r="DV17"/>
  <c r="DW17"/>
  <c r="P26" i="19"/>
  <c r="DU16" i="13"/>
  <c r="DV16"/>
  <c r="DW16"/>
  <c r="P25" i="19"/>
  <c r="DU15" i="13"/>
  <c r="DV15"/>
  <c r="DW15"/>
  <c r="P24" i="19"/>
  <c r="DU14" i="13"/>
  <c r="DV14"/>
  <c r="DW14"/>
  <c r="P23" i="19"/>
  <c r="DU13" i="13"/>
  <c r="DV13"/>
  <c r="DW13"/>
  <c r="P22" i="19"/>
  <c r="DU12" i="13"/>
  <c r="DV12"/>
  <c r="DW12"/>
  <c r="P21" i="19"/>
  <c r="DU11" i="13"/>
  <c r="DV11"/>
  <c r="DW11"/>
  <c r="P20" i="19"/>
  <c r="DU10" i="13"/>
  <c r="DV10"/>
  <c r="DW10"/>
  <c r="P19" i="19"/>
  <c r="DU9" i="13"/>
  <c r="DV9"/>
  <c r="DW9"/>
  <c r="P18" i="19"/>
  <c r="DU8" i="13"/>
  <c r="DV8"/>
  <c r="DW8"/>
  <c r="P17" i="1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D9" i="15"/>
  <c r="E9"/>
  <c r="F9"/>
  <c r="G9"/>
  <c r="H9"/>
  <c r="I9"/>
  <c r="J9"/>
  <c r="K9"/>
  <c r="U9"/>
  <c r="C17" i="19"/>
  <c r="A4"/>
  <c r="N68"/>
  <c r="N67"/>
  <c r="N66"/>
  <c r="N65"/>
  <c r="N64"/>
  <c r="N63"/>
  <c r="N62"/>
  <c r="N61"/>
  <c r="N60"/>
  <c r="N59"/>
  <c r="N58"/>
  <c r="N57"/>
  <c r="N56"/>
  <c r="N55"/>
  <c r="N54"/>
  <c r="N53"/>
  <c r="N52"/>
  <c r="N51"/>
  <c r="N50"/>
  <c r="N49"/>
  <c r="N48"/>
  <c r="N47"/>
  <c r="D39" i="15"/>
  <c r="E39"/>
  <c r="F39"/>
  <c r="G39"/>
  <c r="H39"/>
  <c r="I39"/>
  <c r="J39"/>
  <c r="U39"/>
  <c r="C116" i="19"/>
  <c r="C86"/>
  <c r="K68" i="14"/>
  <c r="S68"/>
  <c r="D10" i="15"/>
  <c r="E10"/>
  <c r="F10"/>
  <c r="G10"/>
  <c r="H10"/>
  <c r="I10"/>
  <c r="J10"/>
  <c r="K10"/>
  <c r="U10"/>
  <c r="C87" i="19"/>
  <c r="K69" i="14"/>
  <c r="S69"/>
  <c r="D11" i="15"/>
  <c r="E11"/>
  <c r="F11"/>
  <c r="G11"/>
  <c r="H11"/>
  <c r="I11"/>
  <c r="J11"/>
  <c r="K11"/>
  <c r="U11"/>
  <c r="C88" i="19"/>
  <c r="K70" i="14"/>
  <c r="S70"/>
  <c r="D12" i="15"/>
  <c r="E12"/>
  <c r="F12"/>
  <c r="G12"/>
  <c r="H12"/>
  <c r="I12"/>
  <c r="J12"/>
  <c r="K12"/>
  <c r="U12"/>
  <c r="C89" i="19"/>
  <c r="K71" i="14"/>
  <c r="S71"/>
  <c r="D13" i="15"/>
  <c r="E13"/>
  <c r="F13"/>
  <c r="G13"/>
  <c r="H13"/>
  <c r="I13"/>
  <c r="J13"/>
  <c r="K13"/>
  <c r="U13"/>
  <c r="C90" i="19"/>
  <c r="K72" i="14"/>
  <c r="S72"/>
  <c r="D14" i="15"/>
  <c r="E14"/>
  <c r="F14"/>
  <c r="G14"/>
  <c r="H14"/>
  <c r="I14"/>
  <c r="J14"/>
  <c r="K14"/>
  <c r="U14"/>
  <c r="C91" i="19"/>
  <c r="K73" i="14"/>
  <c r="S73"/>
  <c r="D15" i="15"/>
  <c r="E15"/>
  <c r="F15"/>
  <c r="G15"/>
  <c r="H15"/>
  <c r="I15"/>
  <c r="J15"/>
  <c r="K15"/>
  <c r="U15"/>
  <c r="C92" i="19"/>
  <c r="K74" i="14"/>
  <c r="S74"/>
  <c r="D16" i="15"/>
  <c r="E16"/>
  <c r="F16"/>
  <c r="G16"/>
  <c r="H16"/>
  <c r="I16"/>
  <c r="J16"/>
  <c r="K16"/>
  <c r="U16"/>
  <c r="C93" i="19"/>
  <c r="K75" i="14"/>
  <c r="S75"/>
  <c r="D17" i="15"/>
  <c r="E17"/>
  <c r="F17"/>
  <c r="G17"/>
  <c r="H17"/>
  <c r="I17"/>
  <c r="J17"/>
  <c r="K17"/>
  <c r="U17"/>
  <c r="C94" i="19"/>
  <c r="K76" i="14"/>
  <c r="S76"/>
  <c r="D18" i="15"/>
  <c r="E18"/>
  <c r="F18"/>
  <c r="G18"/>
  <c r="H18"/>
  <c r="I18"/>
  <c r="J18"/>
  <c r="K18"/>
  <c r="U18"/>
  <c r="C95" i="19"/>
  <c r="K77" i="14"/>
  <c r="S77"/>
  <c r="D19" i="15"/>
  <c r="E19"/>
  <c r="F19"/>
  <c r="G19"/>
  <c r="H19"/>
  <c r="I19"/>
  <c r="J19"/>
  <c r="K19"/>
  <c r="U19"/>
  <c r="C96" i="19"/>
  <c r="K78" i="14"/>
  <c r="S78"/>
  <c r="D20" i="15"/>
  <c r="E20"/>
  <c r="F20"/>
  <c r="G20"/>
  <c r="H20"/>
  <c r="I20"/>
  <c r="J20"/>
  <c r="K20"/>
  <c r="U20"/>
  <c r="C97" i="19"/>
  <c r="K79" i="14"/>
  <c r="S79"/>
  <c r="D21" i="15"/>
  <c r="E21"/>
  <c r="F21"/>
  <c r="G21"/>
  <c r="H21"/>
  <c r="I21"/>
  <c r="J21"/>
  <c r="K21"/>
  <c r="U21"/>
  <c r="C98" i="19"/>
  <c r="K80" i="14"/>
  <c r="S80"/>
  <c r="D22" i="15"/>
  <c r="E22"/>
  <c r="F22"/>
  <c r="G22"/>
  <c r="H22"/>
  <c r="I22"/>
  <c r="J22"/>
  <c r="K22"/>
  <c r="U22"/>
  <c r="C99" i="19"/>
  <c r="K81" i="14"/>
  <c r="S81"/>
  <c r="D23" i="15"/>
  <c r="E23"/>
  <c r="F23"/>
  <c r="G23"/>
  <c r="H23"/>
  <c r="I23"/>
  <c r="J23"/>
  <c r="K23"/>
  <c r="U23"/>
  <c r="C100" i="19"/>
  <c r="K82" i="14"/>
  <c r="S82"/>
  <c r="D24" i="15"/>
  <c r="E24"/>
  <c r="F24"/>
  <c r="G24"/>
  <c r="H24"/>
  <c r="I24"/>
  <c r="J24"/>
  <c r="K24"/>
  <c r="U24"/>
  <c r="C101" i="19"/>
  <c r="K83" i="14"/>
  <c r="S83"/>
  <c r="D25" i="15"/>
  <c r="E25"/>
  <c r="F25"/>
  <c r="G25"/>
  <c r="H25"/>
  <c r="I25"/>
  <c r="J25"/>
  <c r="K25"/>
  <c r="U25"/>
  <c r="C102" i="19"/>
  <c r="K84" i="14"/>
  <c r="S84"/>
  <c r="D26" i="15"/>
  <c r="E26"/>
  <c r="F26"/>
  <c r="G26"/>
  <c r="H26"/>
  <c r="I26"/>
  <c r="J26"/>
  <c r="K26"/>
  <c r="U26"/>
  <c r="C103" i="19"/>
  <c r="K85" i="14"/>
  <c r="S85"/>
  <c r="D27" i="15"/>
  <c r="E27"/>
  <c r="F27"/>
  <c r="G27"/>
  <c r="H27"/>
  <c r="I27"/>
  <c r="J27"/>
  <c r="K27"/>
  <c r="U27"/>
  <c r="C104" i="19"/>
  <c r="K86" i="14"/>
  <c r="S86"/>
  <c r="D28" i="15"/>
  <c r="E28"/>
  <c r="F28"/>
  <c r="G28"/>
  <c r="H28"/>
  <c r="I28"/>
  <c r="J28"/>
  <c r="K28"/>
  <c r="U28"/>
  <c r="C105" i="19"/>
  <c r="K87" i="14"/>
  <c r="S87"/>
  <c r="D29" i="15"/>
  <c r="E29"/>
  <c r="F29"/>
  <c r="G29"/>
  <c r="H29"/>
  <c r="I29"/>
  <c r="J29"/>
  <c r="K29"/>
  <c r="U29"/>
  <c r="C106" i="19"/>
  <c r="K88" i="14"/>
  <c r="S88"/>
  <c r="D30" i="15"/>
  <c r="E30"/>
  <c r="F30"/>
  <c r="G30"/>
  <c r="H30"/>
  <c r="I30"/>
  <c r="J30"/>
  <c r="K30"/>
  <c r="U30"/>
  <c r="C107" i="19"/>
  <c r="K89" i="14"/>
  <c r="S89"/>
  <c r="D31" i="15"/>
  <c r="E31"/>
  <c r="F31"/>
  <c r="G31"/>
  <c r="H31"/>
  <c r="I31"/>
  <c r="J31"/>
  <c r="U31"/>
  <c r="C108" i="19"/>
  <c r="D32" i="15"/>
  <c r="E32"/>
  <c r="F32"/>
  <c r="G32"/>
  <c r="H32"/>
  <c r="I32"/>
  <c r="J32"/>
  <c r="U32"/>
  <c r="C109" i="19"/>
  <c r="D33" i="15"/>
  <c r="E33"/>
  <c r="F33"/>
  <c r="G33"/>
  <c r="H33"/>
  <c r="I33"/>
  <c r="J33"/>
  <c r="U33"/>
  <c r="C110" i="19"/>
  <c r="D34" i="15"/>
  <c r="E34"/>
  <c r="F34"/>
  <c r="G34"/>
  <c r="H34"/>
  <c r="I34"/>
  <c r="J34"/>
  <c r="U34"/>
  <c r="C111" i="19"/>
  <c r="D35" i="15"/>
  <c r="E35"/>
  <c r="F35"/>
  <c r="G35"/>
  <c r="H35"/>
  <c r="I35"/>
  <c r="J35"/>
  <c r="U35"/>
  <c r="C112" i="19"/>
  <c r="D36" i="15"/>
  <c r="E36"/>
  <c r="F36"/>
  <c r="G36"/>
  <c r="H36"/>
  <c r="I36"/>
  <c r="J36"/>
  <c r="U36"/>
  <c r="C113" i="19"/>
  <c r="D37" i="15"/>
  <c r="E37"/>
  <c r="F37"/>
  <c r="G37"/>
  <c r="H37"/>
  <c r="I37"/>
  <c r="J37"/>
  <c r="U37"/>
  <c r="C114" i="19"/>
  <c r="D38" i="15"/>
  <c r="E38"/>
  <c r="F38"/>
  <c r="G38"/>
  <c r="H38"/>
  <c r="I38"/>
  <c r="J38"/>
  <c r="U38"/>
  <c r="C115" i="19"/>
  <c r="D40" i="15"/>
  <c r="E40"/>
  <c r="F40"/>
  <c r="G40"/>
  <c r="H40"/>
  <c r="I40"/>
  <c r="J40"/>
  <c r="U40"/>
  <c r="C117" i="19"/>
  <c r="D41" i="15"/>
  <c r="E41"/>
  <c r="F41"/>
  <c r="G41"/>
  <c r="H41"/>
  <c r="I41"/>
  <c r="J41"/>
  <c r="U41"/>
  <c r="C118" i="19"/>
  <c r="D42" i="15"/>
  <c r="E42"/>
  <c r="F42"/>
  <c r="G42"/>
  <c r="H42"/>
  <c r="I42"/>
  <c r="J42"/>
  <c r="U42"/>
  <c r="C119" i="19"/>
  <c r="D43" i="15"/>
  <c r="E43"/>
  <c r="F43"/>
  <c r="G43"/>
  <c r="H43"/>
  <c r="I43"/>
  <c r="J43"/>
  <c r="U43"/>
  <c r="C120" i="19"/>
  <c r="D44" i="15"/>
  <c r="E44"/>
  <c r="F44"/>
  <c r="G44"/>
  <c r="H44"/>
  <c r="I44"/>
  <c r="J44"/>
  <c r="U44"/>
  <c r="C121" i="19"/>
  <c r="D45" i="15"/>
  <c r="E45"/>
  <c r="F45"/>
  <c r="G45"/>
  <c r="H45"/>
  <c r="I45"/>
  <c r="J45"/>
  <c r="U45"/>
  <c r="C122" i="19"/>
  <c r="D46" i="15"/>
  <c r="E46"/>
  <c r="F46"/>
  <c r="G46"/>
  <c r="H46"/>
  <c r="I46"/>
  <c r="J46"/>
  <c r="U46"/>
  <c r="C123" i="19"/>
  <c r="D47" i="15"/>
  <c r="E47"/>
  <c r="F47"/>
  <c r="G47"/>
  <c r="H47"/>
  <c r="I47"/>
  <c r="J47"/>
  <c r="U47"/>
  <c r="C124" i="19"/>
  <c r="D48" i="15"/>
  <c r="E48"/>
  <c r="F48"/>
  <c r="G48"/>
  <c r="H48"/>
  <c r="I48"/>
  <c r="J48"/>
  <c r="U48"/>
  <c r="C125" i="19"/>
  <c r="D49" i="15"/>
  <c r="E49"/>
  <c r="F49"/>
  <c r="G49"/>
  <c r="H49"/>
  <c r="I49"/>
  <c r="U49"/>
  <c r="C126" i="19"/>
  <c r="CR48" i="13"/>
  <c r="I108" i="14"/>
  <c r="S108"/>
  <c r="D50" i="15"/>
  <c r="E50"/>
  <c r="F50"/>
  <c r="G50"/>
  <c r="H50"/>
  <c r="I50"/>
  <c r="U50"/>
  <c r="C127" i="19"/>
  <c r="CR49" i="13"/>
  <c r="I109" i="14"/>
  <c r="S109"/>
  <c r="D51" i="15"/>
  <c r="E51"/>
  <c r="F51"/>
  <c r="G51"/>
  <c r="H51"/>
  <c r="I51"/>
  <c r="U51"/>
  <c r="C128" i="19"/>
  <c r="CR50" i="13"/>
  <c r="I110" i="14"/>
  <c r="S110"/>
  <c r="D52" i="15"/>
  <c r="E52"/>
  <c r="F52"/>
  <c r="G52"/>
  <c r="H52"/>
  <c r="I52"/>
  <c r="U52"/>
  <c r="C129" i="19"/>
  <c r="CR51" i="13"/>
  <c r="I111" i="14"/>
  <c r="S111"/>
  <c r="D53" i="15"/>
  <c r="E53"/>
  <c r="F53"/>
  <c r="G53"/>
  <c r="H53"/>
  <c r="I53"/>
  <c r="U53"/>
  <c r="C130" i="19"/>
  <c r="CR52" i="13"/>
  <c r="I112" i="14"/>
  <c r="S112"/>
  <c r="E130" i="19"/>
  <c r="G130"/>
  <c r="D54" i="15"/>
  <c r="E54"/>
  <c r="F54"/>
  <c r="G54"/>
  <c r="H54"/>
  <c r="I54"/>
  <c r="U54"/>
  <c r="C131" i="19"/>
  <c r="CR53" i="13"/>
  <c r="I113" i="14"/>
  <c r="S113"/>
  <c r="E131" i="19"/>
  <c r="G131"/>
  <c r="D55" i="15"/>
  <c r="E55"/>
  <c r="F55"/>
  <c r="G55"/>
  <c r="H55"/>
  <c r="I55"/>
  <c r="U55"/>
  <c r="C132" i="19"/>
  <c r="CR54" i="13"/>
  <c r="I114" i="14"/>
  <c r="S114"/>
  <c r="E132" i="19"/>
  <c r="G132"/>
  <c r="D56" i="15"/>
  <c r="E56"/>
  <c r="F56"/>
  <c r="G56"/>
  <c r="H56"/>
  <c r="I56"/>
  <c r="U56"/>
  <c r="C133" i="19"/>
  <c r="CR55" i="13"/>
  <c r="I115" i="14"/>
  <c r="S115"/>
  <c r="D57" i="15"/>
  <c r="E57"/>
  <c r="F57"/>
  <c r="G57"/>
  <c r="H57"/>
  <c r="I57"/>
  <c r="U57"/>
  <c r="C134" i="19"/>
  <c r="CR56" i="13"/>
  <c r="I116" i="14"/>
  <c r="S116"/>
  <c r="D58" i="15"/>
  <c r="E58"/>
  <c r="F58"/>
  <c r="G58"/>
  <c r="H58"/>
  <c r="I58"/>
  <c r="U58"/>
  <c r="C135" i="19"/>
  <c r="CR57" i="13"/>
  <c r="I117" i="14"/>
  <c r="S117"/>
  <c r="E135" i="19"/>
  <c r="G135"/>
  <c r="D59" i="15"/>
  <c r="E59"/>
  <c r="F59"/>
  <c r="G59"/>
  <c r="H59"/>
  <c r="I59"/>
  <c r="U59"/>
  <c r="C136" i="19"/>
  <c r="CR58" i="13"/>
  <c r="I118" i="14"/>
  <c r="S118"/>
  <c r="E136" i="19"/>
  <c r="G136"/>
  <c r="D60" i="15"/>
  <c r="E60"/>
  <c r="F60"/>
  <c r="G60"/>
  <c r="H60"/>
  <c r="I60"/>
  <c r="U60"/>
  <c r="C137" i="19"/>
  <c r="CR59" i="13"/>
  <c r="I119" i="14"/>
  <c r="S119"/>
  <c r="DM63" i="13"/>
  <c r="S63"/>
  <c r="F9" i="21"/>
  <c r="AG63" i="13"/>
  <c r="G9" i="21"/>
  <c r="AU63" i="13"/>
  <c r="H9" i="21"/>
  <c r="BI63" i="13"/>
  <c r="I9" i="21"/>
  <c r="BW63" i="13"/>
  <c r="J9" i="21"/>
  <c r="CK63" i="13"/>
  <c r="K9" i="21"/>
  <c r="CY63" i="13"/>
  <c r="L9" i="21"/>
  <c r="F26"/>
  <c r="N26"/>
  <c r="N9"/>
  <c r="M7"/>
  <c r="L7"/>
  <c r="K7"/>
  <c r="N32"/>
  <c r="N31"/>
  <c r="N30"/>
  <c r="N29"/>
  <c r="N28"/>
  <c r="J7"/>
  <c r="I7"/>
  <c r="H7"/>
  <c r="G7"/>
  <c r="F7"/>
  <c r="D62" i="15"/>
  <c r="F19" i="21"/>
  <c r="E62" i="15"/>
  <c r="G19" i="21"/>
  <c r="F62" i="15"/>
  <c r="H19" i="21"/>
  <c r="G62" i="15"/>
  <c r="I19" i="21"/>
  <c r="H62" i="15"/>
  <c r="J19" i="21"/>
  <c r="I62" i="15"/>
  <c r="K19" i="21"/>
  <c r="J49" i="15"/>
  <c r="J50"/>
  <c r="J51"/>
  <c r="J52"/>
  <c r="J53"/>
  <c r="J54"/>
  <c r="J55"/>
  <c r="J56"/>
  <c r="J57"/>
  <c r="J58"/>
  <c r="J59"/>
  <c r="J60"/>
  <c r="J62"/>
  <c r="L19" i="21"/>
  <c r="F27"/>
  <c r="N27"/>
  <c r="DN63" i="13"/>
  <c r="M12" i="21"/>
  <c r="M13"/>
  <c r="M15"/>
  <c r="M32"/>
  <c r="M31"/>
  <c r="M30"/>
  <c r="M29"/>
  <c r="M28"/>
  <c r="M27"/>
  <c r="M26"/>
  <c r="DO65" i="13"/>
  <c r="M17" i="21"/>
  <c r="CZ63" i="13"/>
  <c r="L12" i="21"/>
  <c r="DA63" i="13"/>
  <c r="L13" i="21"/>
  <c r="L15"/>
  <c r="DA65" i="13"/>
  <c r="L17" i="21"/>
  <c r="K31" i="15"/>
  <c r="K32"/>
  <c r="K33"/>
  <c r="K34"/>
  <c r="K35"/>
  <c r="K36"/>
  <c r="K37"/>
  <c r="K38"/>
  <c r="K39"/>
  <c r="K40"/>
  <c r="K41"/>
  <c r="K42"/>
  <c r="K43"/>
  <c r="K44"/>
  <c r="K45"/>
  <c r="K46"/>
  <c r="K47"/>
  <c r="K48"/>
  <c r="K49"/>
  <c r="K50"/>
  <c r="K51"/>
  <c r="K52"/>
  <c r="K53"/>
  <c r="K54"/>
  <c r="K55"/>
  <c r="K56"/>
  <c r="K57"/>
  <c r="K58"/>
  <c r="K59"/>
  <c r="K60"/>
  <c r="K62"/>
  <c r="M19" i="21"/>
  <c r="M20"/>
  <c r="M16"/>
  <c r="M10"/>
  <c r="K38" i="14"/>
  <c r="K37"/>
  <c r="K36"/>
  <c r="K35"/>
  <c r="K34"/>
  <c r="K33"/>
  <c r="K32"/>
  <c r="K31"/>
  <c r="Q23" i="18"/>
  <c r="P23"/>
  <c r="Q17"/>
  <c r="Q11"/>
  <c r="P6"/>
  <c r="Q27"/>
  <c r="Q26"/>
  <c r="Q25"/>
  <c r="Q21"/>
  <c r="P17"/>
  <c r="Q18"/>
  <c r="P11"/>
  <c r="Q12"/>
  <c r="Q9"/>
  <c r="L29" i="13"/>
  <c r="C89" i="14"/>
  <c r="Z29" i="13"/>
  <c r="D89" i="14"/>
  <c r="AN29" i="13"/>
  <c r="E89" i="14"/>
  <c r="BB29" i="13"/>
  <c r="F89" i="14"/>
  <c r="BP29" i="13"/>
  <c r="G89" i="14"/>
  <c r="CD29" i="13"/>
  <c r="H89" i="14"/>
  <c r="CR29" i="13"/>
  <c r="I89" i="14"/>
  <c r="DF29" i="13"/>
  <c r="J89" i="14"/>
  <c r="T89"/>
  <c r="R89"/>
  <c r="Q89"/>
  <c r="P89"/>
  <c r="O89"/>
  <c r="N89"/>
  <c r="L28" i="13"/>
  <c r="C88" i="14"/>
  <c r="Z28" i="13"/>
  <c r="D88" i="14"/>
  <c r="AN28" i="13"/>
  <c r="E88" i="14"/>
  <c r="BB28" i="13"/>
  <c r="F88" i="14"/>
  <c r="BP28" i="13"/>
  <c r="G88" i="14"/>
  <c r="CD28" i="13"/>
  <c r="H88" i="14"/>
  <c r="CR28" i="13"/>
  <c r="I88" i="14"/>
  <c r="DF28" i="13"/>
  <c r="J88" i="14"/>
  <c r="T88"/>
  <c r="R88"/>
  <c r="Q88"/>
  <c r="P88"/>
  <c r="O88"/>
  <c r="N88"/>
  <c r="L27" i="13"/>
  <c r="C87" i="14"/>
  <c r="Z27" i="13"/>
  <c r="D87" i="14"/>
  <c r="AN27" i="13"/>
  <c r="E87" i="14"/>
  <c r="BB27" i="13"/>
  <c r="F87" i="14"/>
  <c r="BP27" i="13"/>
  <c r="G87" i="14"/>
  <c r="CD27" i="13"/>
  <c r="H87" i="14"/>
  <c r="CR27" i="13"/>
  <c r="I87" i="14"/>
  <c r="DF27" i="13"/>
  <c r="J87" i="14"/>
  <c r="T87"/>
  <c r="R87"/>
  <c r="Q87"/>
  <c r="P87"/>
  <c r="O87"/>
  <c r="N87"/>
  <c r="L26" i="13"/>
  <c r="C86" i="14"/>
  <c r="Z26" i="13"/>
  <c r="D86" i="14"/>
  <c r="AN26" i="13"/>
  <c r="E86" i="14"/>
  <c r="BB26" i="13"/>
  <c r="F86" i="14"/>
  <c r="BP26" i="13"/>
  <c r="G86" i="14"/>
  <c r="CD26" i="13"/>
  <c r="H86" i="14"/>
  <c r="CR26" i="13"/>
  <c r="I86" i="14"/>
  <c r="DF26" i="13"/>
  <c r="J86" i="14"/>
  <c r="T86"/>
  <c r="R86"/>
  <c r="Q86"/>
  <c r="P86"/>
  <c r="O86"/>
  <c r="N86"/>
  <c r="L25" i="13"/>
  <c r="C85" i="14"/>
  <c r="Z25" i="13"/>
  <c r="D85" i="14"/>
  <c r="AN25" i="13"/>
  <c r="E85" i="14"/>
  <c r="BB25" i="13"/>
  <c r="F85" i="14"/>
  <c r="BP25" i="13"/>
  <c r="G85" i="14"/>
  <c r="CD25" i="13"/>
  <c r="H85" i="14"/>
  <c r="CR25" i="13"/>
  <c r="I85" i="14"/>
  <c r="DF25" i="13"/>
  <c r="J85" i="14"/>
  <c r="T85"/>
  <c r="R85"/>
  <c r="Q85"/>
  <c r="P85"/>
  <c r="O85"/>
  <c r="N85"/>
  <c r="L24" i="13"/>
  <c r="C84" i="14"/>
  <c r="Z24" i="13"/>
  <c r="D84" i="14"/>
  <c r="AN24" i="13"/>
  <c r="E84" i="14"/>
  <c r="BB24" i="13"/>
  <c r="F84" i="14"/>
  <c r="BP24" i="13"/>
  <c r="G84" i="14"/>
  <c r="CD24" i="13"/>
  <c r="H84" i="14"/>
  <c r="CR24" i="13"/>
  <c r="I84" i="14"/>
  <c r="DF24" i="13"/>
  <c r="J84" i="14"/>
  <c r="T84"/>
  <c r="R84"/>
  <c r="Q84"/>
  <c r="P84"/>
  <c r="O84"/>
  <c r="N84"/>
  <c r="L23" i="13"/>
  <c r="C83" i="14"/>
  <c r="Z23" i="13"/>
  <c r="D83" i="14"/>
  <c r="AN23" i="13"/>
  <c r="E83" i="14"/>
  <c r="BB23" i="13"/>
  <c r="F83" i="14"/>
  <c r="BP23" i="13"/>
  <c r="G83" i="14"/>
  <c r="CD23" i="13"/>
  <c r="H83" i="14"/>
  <c r="CR23" i="13"/>
  <c r="I83" i="14"/>
  <c r="DF23" i="13"/>
  <c r="J83" i="14"/>
  <c r="T83"/>
  <c r="R83"/>
  <c r="Q83"/>
  <c r="P83"/>
  <c r="O83"/>
  <c r="N83"/>
  <c r="L22" i="13"/>
  <c r="C82" i="14"/>
  <c r="Z22" i="13"/>
  <c r="D82" i="14"/>
  <c r="AN22" i="13"/>
  <c r="E82" i="14"/>
  <c r="BB22" i="13"/>
  <c r="F82" i="14"/>
  <c r="BP22" i="13"/>
  <c r="G82" i="14"/>
  <c r="CD22" i="13"/>
  <c r="H82" i="14"/>
  <c r="CR22" i="13"/>
  <c r="I82" i="14"/>
  <c r="DF22" i="13"/>
  <c r="J82" i="14"/>
  <c r="T82"/>
  <c r="R82"/>
  <c r="Q82"/>
  <c r="P82"/>
  <c r="O82"/>
  <c r="N82"/>
  <c r="L21" i="13"/>
  <c r="C81" i="14"/>
  <c r="Z21" i="13"/>
  <c r="D81" i="14"/>
  <c r="AN21" i="13"/>
  <c r="E81" i="14"/>
  <c r="BB21" i="13"/>
  <c r="F81" i="14"/>
  <c r="BP21" i="13"/>
  <c r="G81" i="14"/>
  <c r="CD21" i="13"/>
  <c r="H81" i="14"/>
  <c r="CR21" i="13"/>
  <c r="I81" i="14"/>
  <c r="DF21" i="13"/>
  <c r="J81" i="14"/>
  <c r="T81"/>
  <c r="R81"/>
  <c r="Q81"/>
  <c r="P81"/>
  <c r="O81"/>
  <c r="N81"/>
  <c r="L20" i="13"/>
  <c r="C80" i="14"/>
  <c r="Z20" i="13"/>
  <c r="D80" i="14"/>
  <c r="AN20" i="13"/>
  <c r="E80" i="14"/>
  <c r="BB20" i="13"/>
  <c r="F80" i="14"/>
  <c r="BP20" i="13"/>
  <c r="G80" i="14"/>
  <c r="CD20" i="13"/>
  <c r="H80" i="14"/>
  <c r="CR20" i="13"/>
  <c r="I80" i="14"/>
  <c r="DF20" i="13"/>
  <c r="J80" i="14"/>
  <c r="T80"/>
  <c r="R80"/>
  <c r="Q80"/>
  <c r="P80"/>
  <c r="O80"/>
  <c r="N80"/>
  <c r="L19" i="13"/>
  <c r="C79" i="14"/>
  <c r="Z19" i="13"/>
  <c r="D79" i="14"/>
  <c r="AN19" i="13"/>
  <c r="E79" i="14"/>
  <c r="BB19" i="13"/>
  <c r="F79" i="14"/>
  <c r="BP19" i="13"/>
  <c r="G79" i="14"/>
  <c r="CD19" i="13"/>
  <c r="H79" i="14"/>
  <c r="CR19" i="13"/>
  <c r="I79" i="14"/>
  <c r="DF19" i="13"/>
  <c r="J79" i="14"/>
  <c r="T79"/>
  <c r="R79"/>
  <c r="Q79"/>
  <c r="P79"/>
  <c r="O79"/>
  <c r="N79"/>
  <c r="L18" i="13"/>
  <c r="C78" i="14"/>
  <c r="Z18" i="13"/>
  <c r="D78" i="14"/>
  <c r="AN18" i="13"/>
  <c r="E78" i="14"/>
  <c r="BB18" i="13"/>
  <c r="F78" i="14"/>
  <c r="BP18" i="13"/>
  <c r="G78" i="14"/>
  <c r="CD18" i="13"/>
  <c r="H78" i="14"/>
  <c r="CR18" i="13"/>
  <c r="I78" i="14"/>
  <c r="DF18" i="13"/>
  <c r="J78" i="14"/>
  <c r="T78"/>
  <c r="R78"/>
  <c r="Q78"/>
  <c r="P78"/>
  <c r="O78"/>
  <c r="N78"/>
  <c r="L17" i="13"/>
  <c r="C77" i="14"/>
  <c r="Z17" i="13"/>
  <c r="D77" i="14"/>
  <c r="AN17" i="13"/>
  <c r="E77" i="14"/>
  <c r="BB17" i="13"/>
  <c r="F77" i="14"/>
  <c r="BP17" i="13"/>
  <c r="G77" i="14"/>
  <c r="CD17" i="13"/>
  <c r="H77" i="14"/>
  <c r="CR17" i="13"/>
  <c r="I77" i="14"/>
  <c r="DF17" i="13"/>
  <c r="J77" i="14"/>
  <c r="T77"/>
  <c r="R77"/>
  <c r="Q77"/>
  <c r="P77"/>
  <c r="O77"/>
  <c r="N77"/>
  <c r="L16" i="13"/>
  <c r="C76" i="14"/>
  <c r="Z16" i="13"/>
  <c r="D76" i="14"/>
  <c r="AN16" i="13"/>
  <c r="E76" i="14"/>
  <c r="BB16" i="13"/>
  <c r="F76" i="14"/>
  <c r="BP16" i="13"/>
  <c r="G76" i="14"/>
  <c r="CD16" i="13"/>
  <c r="H76" i="14"/>
  <c r="CR16" i="13"/>
  <c r="I76" i="14"/>
  <c r="DF16" i="13"/>
  <c r="J76" i="14"/>
  <c r="T76"/>
  <c r="R76"/>
  <c r="Q76"/>
  <c r="P76"/>
  <c r="O76"/>
  <c r="N76"/>
  <c r="L15" i="13"/>
  <c r="C75" i="14"/>
  <c r="Z15" i="13"/>
  <c r="D75" i="14"/>
  <c r="AN15" i="13"/>
  <c r="E75" i="14"/>
  <c r="BB15" i="13"/>
  <c r="F75" i="14"/>
  <c r="BP15" i="13"/>
  <c r="G75" i="14"/>
  <c r="CD15" i="13"/>
  <c r="H75" i="14"/>
  <c r="CR15" i="13"/>
  <c r="I75" i="14"/>
  <c r="DF15" i="13"/>
  <c r="J75" i="14"/>
  <c r="T75"/>
  <c r="R75"/>
  <c r="Q75"/>
  <c r="P75"/>
  <c r="O75"/>
  <c r="N75"/>
  <c r="L14" i="13"/>
  <c r="C74" i="14"/>
  <c r="Z14" i="13"/>
  <c r="D74" i="14"/>
  <c r="AN14" i="13"/>
  <c r="E74" i="14"/>
  <c r="BB14" i="13"/>
  <c r="F74" i="14"/>
  <c r="BP14" i="13"/>
  <c r="G74" i="14"/>
  <c r="CD14" i="13"/>
  <c r="H74" i="14"/>
  <c r="CR14" i="13"/>
  <c r="I74" i="14"/>
  <c r="DF14" i="13"/>
  <c r="J74" i="14"/>
  <c r="T74"/>
  <c r="R74"/>
  <c r="Q74"/>
  <c r="P74"/>
  <c r="O74"/>
  <c r="N74"/>
  <c r="L13" i="13"/>
  <c r="C73" i="14"/>
  <c r="Z13" i="13"/>
  <c r="D73" i="14"/>
  <c r="AN13" i="13"/>
  <c r="E73" i="14"/>
  <c r="BB13" i="13"/>
  <c r="F73" i="14"/>
  <c r="BP13" i="13"/>
  <c r="G73" i="14"/>
  <c r="CD13" i="13"/>
  <c r="H73" i="14"/>
  <c r="CR13" i="13"/>
  <c r="I73" i="14"/>
  <c r="DF13" i="13"/>
  <c r="J73" i="14"/>
  <c r="T73"/>
  <c r="R73"/>
  <c r="Q73"/>
  <c r="P73"/>
  <c r="O73"/>
  <c r="N73"/>
  <c r="L12" i="13"/>
  <c r="C72" i="14"/>
  <c r="Z12" i="13"/>
  <c r="D72" i="14"/>
  <c r="AN12" i="13"/>
  <c r="E72" i="14"/>
  <c r="BB12" i="13"/>
  <c r="F72" i="14"/>
  <c r="BP12" i="13"/>
  <c r="G72" i="14"/>
  <c r="CD12" i="13"/>
  <c r="H72" i="14"/>
  <c r="CR12" i="13"/>
  <c r="I72" i="14"/>
  <c r="DF12" i="13"/>
  <c r="J72" i="14"/>
  <c r="T72"/>
  <c r="R72"/>
  <c r="Q72"/>
  <c r="P72"/>
  <c r="O72"/>
  <c r="N72"/>
  <c r="L11" i="13"/>
  <c r="C71" i="14"/>
  <c r="Z11" i="13"/>
  <c r="D71" i="14"/>
  <c r="AN11" i="13"/>
  <c r="E71" i="14"/>
  <c r="BB11" i="13"/>
  <c r="F71" i="14"/>
  <c r="BP11" i="13"/>
  <c r="G71" i="14"/>
  <c r="CD11" i="13"/>
  <c r="H71" i="14"/>
  <c r="CR11" i="13"/>
  <c r="I71" i="14"/>
  <c r="DF11" i="13"/>
  <c r="J71" i="14"/>
  <c r="T71"/>
  <c r="R71"/>
  <c r="Q71"/>
  <c r="P71"/>
  <c r="O71"/>
  <c r="N71"/>
  <c r="L10" i="13"/>
  <c r="C70" i="14"/>
  <c r="Z10" i="13"/>
  <c r="D70" i="14"/>
  <c r="AN10" i="13"/>
  <c r="E70" i="14"/>
  <c r="BB10" i="13"/>
  <c r="F70" i="14"/>
  <c r="BP10" i="13"/>
  <c r="G70" i="14"/>
  <c r="CD10" i="13"/>
  <c r="H70" i="14"/>
  <c r="CR10" i="13"/>
  <c r="I70" i="14"/>
  <c r="DF10" i="13"/>
  <c r="J70" i="14"/>
  <c r="T70"/>
  <c r="R70"/>
  <c r="Q70"/>
  <c r="P70"/>
  <c r="O70"/>
  <c r="N70"/>
  <c r="L9" i="13"/>
  <c r="C69" i="14"/>
  <c r="Z9" i="13"/>
  <c r="D69" i="14"/>
  <c r="AN9" i="13"/>
  <c r="E69" i="14"/>
  <c r="BB9" i="13"/>
  <c r="F69" i="14"/>
  <c r="BP9" i="13"/>
  <c r="G69" i="14"/>
  <c r="CD9" i="13"/>
  <c r="H69" i="14"/>
  <c r="CR9" i="13"/>
  <c r="I69" i="14"/>
  <c r="DF9" i="13"/>
  <c r="J69" i="14"/>
  <c r="T69"/>
  <c r="R69"/>
  <c r="Q69"/>
  <c r="P69"/>
  <c r="O69"/>
  <c r="N69"/>
  <c r="L8" i="13"/>
  <c r="C68" i="14"/>
  <c r="Z8" i="13"/>
  <c r="D68" i="14"/>
  <c r="AN8" i="13"/>
  <c r="E68" i="14"/>
  <c r="BB8" i="13"/>
  <c r="F68" i="14"/>
  <c r="BP8" i="13"/>
  <c r="G68" i="14"/>
  <c r="CD8" i="13"/>
  <c r="H68" i="14"/>
  <c r="CR8" i="13"/>
  <c r="I68" i="14"/>
  <c r="DF8" i="13"/>
  <c r="J68" i="14"/>
  <c r="T68"/>
  <c r="R68"/>
  <c r="Q68"/>
  <c r="P68"/>
  <c r="O68"/>
  <c r="N68"/>
  <c r="M29" i="13"/>
  <c r="N29"/>
  <c r="O29"/>
  <c r="C30" i="14"/>
  <c r="AA29" i="13"/>
  <c r="AB29"/>
  <c r="AC29"/>
  <c r="D30" i="14"/>
  <c r="AP29" i="13"/>
  <c r="AO29"/>
  <c r="AQ29"/>
  <c r="E30" i="14"/>
  <c r="BC29" i="13"/>
  <c r="BD29"/>
  <c r="BE29"/>
  <c r="F30" i="14"/>
  <c r="BR29" i="13"/>
  <c r="BQ29"/>
  <c r="BS29"/>
  <c r="G30" i="14"/>
  <c r="CE29" i="13"/>
  <c r="CF29"/>
  <c r="CG29"/>
  <c r="H30" i="14"/>
  <c r="CS29" i="13"/>
  <c r="CT29"/>
  <c r="CU29"/>
  <c r="I30" i="14"/>
  <c r="DG29" i="13"/>
  <c r="DH29"/>
  <c r="DI29"/>
  <c r="J30" i="14"/>
  <c r="K30"/>
  <c r="T30"/>
  <c r="S30"/>
  <c r="R30"/>
  <c r="Q30"/>
  <c r="P30"/>
  <c r="O30"/>
  <c r="N30"/>
  <c r="M28" i="13"/>
  <c r="N28"/>
  <c r="O28"/>
  <c r="C29" i="14"/>
  <c r="AA28" i="13"/>
  <c r="AB28"/>
  <c r="AC28"/>
  <c r="D29" i="14"/>
  <c r="AP28" i="13"/>
  <c r="AO28"/>
  <c r="AQ28"/>
  <c r="E29" i="14"/>
  <c r="BC28" i="13"/>
  <c r="BD28"/>
  <c r="BE28"/>
  <c r="F29" i="14"/>
  <c r="BR28" i="13"/>
  <c r="BQ28"/>
  <c r="BS28"/>
  <c r="G29" i="14"/>
  <c r="CE28" i="13"/>
  <c r="CF28"/>
  <c r="CG28"/>
  <c r="H29" i="14"/>
  <c r="CS28" i="13"/>
  <c r="CT28"/>
  <c r="CU28"/>
  <c r="I29" i="14"/>
  <c r="DG28" i="13"/>
  <c r="DH28"/>
  <c r="DI28"/>
  <c r="J29" i="14"/>
  <c r="K29"/>
  <c r="T29"/>
  <c r="S29"/>
  <c r="R29"/>
  <c r="Q29"/>
  <c r="P29"/>
  <c r="O29"/>
  <c r="N29"/>
  <c r="M27" i="13"/>
  <c r="N27"/>
  <c r="O27"/>
  <c r="C28" i="14"/>
  <c r="AA27" i="13"/>
  <c r="AB27"/>
  <c r="AC27"/>
  <c r="D28" i="14"/>
  <c r="AP27" i="13"/>
  <c r="AO27"/>
  <c r="AQ27"/>
  <c r="E28" i="14"/>
  <c r="BC27" i="13"/>
  <c r="BD27"/>
  <c r="BE27"/>
  <c r="F28" i="14"/>
  <c r="BR27" i="13"/>
  <c r="BQ27"/>
  <c r="BS27"/>
  <c r="G28" i="14"/>
  <c r="CE27" i="13"/>
  <c r="CF27"/>
  <c r="CG27"/>
  <c r="H28" i="14"/>
  <c r="CS27" i="13"/>
  <c r="CT27"/>
  <c r="CU27"/>
  <c r="I28" i="14"/>
  <c r="DG27" i="13"/>
  <c r="DH27"/>
  <c r="DI27"/>
  <c r="J28" i="14"/>
  <c r="K28"/>
  <c r="T28"/>
  <c r="S28"/>
  <c r="R28"/>
  <c r="Q28"/>
  <c r="P28"/>
  <c r="O28"/>
  <c r="N28"/>
  <c r="M26" i="13"/>
  <c r="N26"/>
  <c r="O26"/>
  <c r="C27" i="14"/>
  <c r="AA26" i="13"/>
  <c r="AB26"/>
  <c r="AC26"/>
  <c r="D27" i="14"/>
  <c r="AP26" i="13"/>
  <c r="AO26"/>
  <c r="AQ26"/>
  <c r="E27" i="14"/>
  <c r="BC26" i="13"/>
  <c r="BD26"/>
  <c r="BE26"/>
  <c r="F27" i="14"/>
  <c r="BR26" i="13"/>
  <c r="BQ26"/>
  <c r="BS26"/>
  <c r="G27" i="14"/>
  <c r="CE26" i="13"/>
  <c r="CF26"/>
  <c r="CG26"/>
  <c r="H27" i="14"/>
  <c r="CS26" i="13"/>
  <c r="CT26"/>
  <c r="CU26"/>
  <c r="I27" i="14"/>
  <c r="DG26" i="13"/>
  <c r="DH26"/>
  <c r="DI26"/>
  <c r="J27" i="14"/>
  <c r="K27"/>
  <c r="T27"/>
  <c r="S27"/>
  <c r="R27"/>
  <c r="Q27"/>
  <c r="P27"/>
  <c r="O27"/>
  <c r="N27"/>
  <c r="M25" i="13"/>
  <c r="N25"/>
  <c r="O25"/>
  <c r="C26" i="14"/>
  <c r="AA25" i="13"/>
  <c r="AB25"/>
  <c r="AC25"/>
  <c r="D26" i="14"/>
  <c r="AP25" i="13"/>
  <c r="AO25"/>
  <c r="AQ25"/>
  <c r="E26" i="14"/>
  <c r="BC25" i="13"/>
  <c r="BD25"/>
  <c r="BE25"/>
  <c r="F26" i="14"/>
  <c r="BR25" i="13"/>
  <c r="BQ25"/>
  <c r="BS25"/>
  <c r="G26" i="14"/>
  <c r="CE25" i="13"/>
  <c r="CF25"/>
  <c r="CG25"/>
  <c r="H26" i="14"/>
  <c r="CS25" i="13"/>
  <c r="CT25"/>
  <c r="CU25"/>
  <c r="I26" i="14"/>
  <c r="DG25" i="13"/>
  <c r="DH25"/>
  <c r="DI25"/>
  <c r="J26" i="14"/>
  <c r="K26"/>
  <c r="T26"/>
  <c r="S26"/>
  <c r="R26"/>
  <c r="Q26"/>
  <c r="P26"/>
  <c r="O26"/>
  <c r="N26"/>
  <c r="M24" i="13"/>
  <c r="N24"/>
  <c r="O24"/>
  <c r="C25" i="14"/>
  <c r="AA24" i="13"/>
  <c r="AB24"/>
  <c r="AC24"/>
  <c r="D25" i="14"/>
  <c r="AP24" i="13"/>
  <c r="AO24"/>
  <c r="AQ24"/>
  <c r="E25" i="14"/>
  <c r="BC24" i="13"/>
  <c r="BD24"/>
  <c r="BE24"/>
  <c r="F25" i="14"/>
  <c r="BR24" i="13"/>
  <c r="BQ24"/>
  <c r="BS24"/>
  <c r="G25" i="14"/>
  <c r="CE24" i="13"/>
  <c r="CF24"/>
  <c r="CG24"/>
  <c r="H25" i="14"/>
  <c r="CS24" i="13"/>
  <c r="CT24"/>
  <c r="CU24"/>
  <c r="I25" i="14"/>
  <c r="DG24" i="13"/>
  <c r="DH24"/>
  <c r="DI24"/>
  <c r="J25" i="14"/>
  <c r="K25"/>
  <c r="T25"/>
  <c r="S25"/>
  <c r="R25"/>
  <c r="Q25"/>
  <c r="P25"/>
  <c r="O25"/>
  <c r="N25"/>
  <c r="M23" i="13"/>
  <c r="N23"/>
  <c r="O23"/>
  <c r="C24" i="14"/>
  <c r="AA23" i="13"/>
  <c r="AB23"/>
  <c r="AC23"/>
  <c r="D24" i="14"/>
  <c r="AP23" i="13"/>
  <c r="AO23"/>
  <c r="AQ23"/>
  <c r="E24" i="14"/>
  <c r="BC23" i="13"/>
  <c r="BD23"/>
  <c r="BE23"/>
  <c r="F24" i="14"/>
  <c r="BR23" i="13"/>
  <c r="BQ23"/>
  <c r="BS23"/>
  <c r="G24" i="14"/>
  <c r="CE23" i="13"/>
  <c r="CF23"/>
  <c r="CG23"/>
  <c r="H24" i="14"/>
  <c r="CS23" i="13"/>
  <c r="CT23"/>
  <c r="CU23"/>
  <c r="I24" i="14"/>
  <c r="DG23" i="13"/>
  <c r="DH23"/>
  <c r="DI23"/>
  <c r="J24" i="14"/>
  <c r="K24"/>
  <c r="T24"/>
  <c r="S24"/>
  <c r="R24"/>
  <c r="Q24"/>
  <c r="P24"/>
  <c r="O24"/>
  <c r="N24"/>
  <c r="M22" i="13"/>
  <c r="N22"/>
  <c r="O22"/>
  <c r="C23" i="14"/>
  <c r="AA22" i="13"/>
  <c r="AB22"/>
  <c r="AC22"/>
  <c r="D23" i="14"/>
  <c r="AP22" i="13"/>
  <c r="AO22"/>
  <c r="AQ22"/>
  <c r="E23" i="14"/>
  <c r="BC22" i="13"/>
  <c r="BD22"/>
  <c r="BE22"/>
  <c r="F23" i="14"/>
  <c r="BR22" i="13"/>
  <c r="BQ22"/>
  <c r="BS22"/>
  <c r="G23" i="14"/>
  <c r="CE22" i="13"/>
  <c r="CF22"/>
  <c r="CG22"/>
  <c r="H23" i="14"/>
  <c r="CS22" i="13"/>
  <c r="CT22"/>
  <c r="CU22"/>
  <c r="I23" i="14"/>
  <c r="DG22" i="13"/>
  <c r="DH22"/>
  <c r="DI22"/>
  <c r="J23" i="14"/>
  <c r="K23"/>
  <c r="T23"/>
  <c r="S23"/>
  <c r="R23"/>
  <c r="Q23"/>
  <c r="P23"/>
  <c r="O23"/>
  <c r="N23"/>
  <c r="M21" i="13"/>
  <c r="N21"/>
  <c r="O21"/>
  <c r="C22" i="14"/>
  <c r="AA21" i="13"/>
  <c r="AB21"/>
  <c r="AC21"/>
  <c r="D22" i="14"/>
  <c r="AP21" i="13"/>
  <c r="AO21"/>
  <c r="AQ21"/>
  <c r="E22" i="14"/>
  <c r="BC21" i="13"/>
  <c r="BD21"/>
  <c r="BE21"/>
  <c r="F22" i="14"/>
  <c r="BR21" i="13"/>
  <c r="BQ21"/>
  <c r="BS21"/>
  <c r="G22" i="14"/>
  <c r="CE21" i="13"/>
  <c r="CF21"/>
  <c r="CG21"/>
  <c r="H22" i="14"/>
  <c r="CS21" i="13"/>
  <c r="CT21"/>
  <c r="CU21"/>
  <c r="I22" i="14"/>
  <c r="DG21" i="13"/>
  <c r="DH21"/>
  <c r="DI21"/>
  <c r="J22" i="14"/>
  <c r="K22"/>
  <c r="T22"/>
  <c r="S22"/>
  <c r="R22"/>
  <c r="Q22"/>
  <c r="P22"/>
  <c r="O22"/>
  <c r="N22"/>
  <c r="M20" i="13"/>
  <c r="N20"/>
  <c r="O20"/>
  <c r="C21" i="14"/>
  <c r="AA20" i="13"/>
  <c r="AB20"/>
  <c r="AC20"/>
  <c r="D21" i="14"/>
  <c r="AP20" i="13"/>
  <c r="AO20"/>
  <c r="AQ20"/>
  <c r="E21" i="14"/>
  <c r="BC20" i="13"/>
  <c r="BD20"/>
  <c r="BE20"/>
  <c r="F21" i="14"/>
  <c r="BR20" i="13"/>
  <c r="BQ20"/>
  <c r="BS20"/>
  <c r="G21" i="14"/>
  <c r="CE20" i="13"/>
  <c r="CF20"/>
  <c r="CG20"/>
  <c r="H21" i="14"/>
  <c r="CS20" i="13"/>
  <c r="CT20"/>
  <c r="CU20"/>
  <c r="I21" i="14"/>
  <c r="DG20" i="13"/>
  <c r="DH20"/>
  <c r="DI20"/>
  <c r="J21" i="14"/>
  <c r="K21"/>
  <c r="T21"/>
  <c r="S21"/>
  <c r="R21"/>
  <c r="Q21"/>
  <c r="P21"/>
  <c r="O21"/>
  <c r="N21"/>
  <c r="M19" i="13"/>
  <c r="N19"/>
  <c r="O19"/>
  <c r="C20" i="14"/>
  <c r="AA19" i="13"/>
  <c r="AB19"/>
  <c r="AC19"/>
  <c r="D20" i="14"/>
  <c r="AP19" i="13"/>
  <c r="AO19"/>
  <c r="AQ19"/>
  <c r="E20" i="14"/>
  <c r="BC19" i="13"/>
  <c r="BD19"/>
  <c r="BE19"/>
  <c r="F20" i="14"/>
  <c r="BR19" i="13"/>
  <c r="BQ19"/>
  <c r="BS19"/>
  <c r="G20" i="14"/>
  <c r="CE19" i="13"/>
  <c r="CF19"/>
  <c r="CG19"/>
  <c r="H20" i="14"/>
  <c r="CS19" i="13"/>
  <c r="CT19"/>
  <c r="CU19"/>
  <c r="I20" i="14"/>
  <c r="DG19" i="13"/>
  <c r="DH19"/>
  <c r="DI19"/>
  <c r="J20" i="14"/>
  <c r="K20"/>
  <c r="T20"/>
  <c r="S20"/>
  <c r="R20"/>
  <c r="Q20"/>
  <c r="P20"/>
  <c r="O20"/>
  <c r="N20"/>
  <c r="M18" i="13"/>
  <c r="N18"/>
  <c r="O18"/>
  <c r="C19" i="14"/>
  <c r="AA18" i="13"/>
  <c r="AB18"/>
  <c r="AC18"/>
  <c r="D19" i="14"/>
  <c r="AP18" i="13"/>
  <c r="AO18"/>
  <c r="AQ18"/>
  <c r="E19" i="14"/>
  <c r="BC18" i="13"/>
  <c r="BD18"/>
  <c r="BE18"/>
  <c r="F19" i="14"/>
  <c r="BR18" i="13"/>
  <c r="BQ18"/>
  <c r="BS18"/>
  <c r="G19" i="14"/>
  <c r="CE18" i="13"/>
  <c r="CF18"/>
  <c r="CG18"/>
  <c r="H19" i="14"/>
  <c r="CS18" i="13"/>
  <c r="CT18"/>
  <c r="CU18"/>
  <c r="I19" i="14"/>
  <c r="DG18" i="13"/>
  <c r="DH18"/>
  <c r="DI18"/>
  <c r="J19" i="14"/>
  <c r="K19"/>
  <c r="T19"/>
  <c r="S19"/>
  <c r="R19"/>
  <c r="Q19"/>
  <c r="P19"/>
  <c r="O19"/>
  <c r="N19"/>
  <c r="M17" i="13"/>
  <c r="N17"/>
  <c r="O17"/>
  <c r="C18" i="14"/>
  <c r="AA17" i="13"/>
  <c r="AB17"/>
  <c r="AC17"/>
  <c r="D18" i="14"/>
  <c r="AP17" i="13"/>
  <c r="AO17"/>
  <c r="AQ17"/>
  <c r="E18" i="14"/>
  <c r="BC17" i="13"/>
  <c r="BD17"/>
  <c r="BE17"/>
  <c r="F18" i="14"/>
  <c r="BR17" i="13"/>
  <c r="BQ17"/>
  <c r="BS17"/>
  <c r="G18" i="14"/>
  <c r="CE17" i="13"/>
  <c r="CF17"/>
  <c r="CG17"/>
  <c r="H18" i="14"/>
  <c r="CS17" i="13"/>
  <c r="CT17"/>
  <c r="CU17"/>
  <c r="I18" i="14"/>
  <c r="DG17" i="13"/>
  <c r="DH17"/>
  <c r="DI17"/>
  <c r="J18" i="14"/>
  <c r="K18"/>
  <c r="T18"/>
  <c r="S18"/>
  <c r="R18"/>
  <c r="Q18"/>
  <c r="P18"/>
  <c r="O18"/>
  <c r="N18"/>
  <c r="M16" i="13"/>
  <c r="N16"/>
  <c r="O16"/>
  <c r="C17" i="14"/>
  <c r="AA16" i="13"/>
  <c r="AB16"/>
  <c r="AC16"/>
  <c r="D17" i="14"/>
  <c r="AP16" i="13"/>
  <c r="AO16"/>
  <c r="AQ16"/>
  <c r="E17" i="14"/>
  <c r="BC16" i="13"/>
  <c r="BD16"/>
  <c r="BE16"/>
  <c r="F17" i="14"/>
  <c r="BR16" i="13"/>
  <c r="BQ16"/>
  <c r="BS16"/>
  <c r="G17" i="14"/>
  <c r="CE16" i="13"/>
  <c r="CF16"/>
  <c r="CG16"/>
  <c r="H17" i="14"/>
  <c r="CS16" i="13"/>
  <c r="CT16"/>
  <c r="CU16"/>
  <c r="I17" i="14"/>
  <c r="DG16" i="13"/>
  <c r="DH16"/>
  <c r="DI16"/>
  <c r="J17" i="14"/>
  <c r="K17"/>
  <c r="T17"/>
  <c r="S17"/>
  <c r="R17"/>
  <c r="Q17"/>
  <c r="P17"/>
  <c r="O17"/>
  <c r="N17"/>
  <c r="M15" i="13"/>
  <c r="N15"/>
  <c r="O15"/>
  <c r="C16" i="14"/>
  <c r="AA15" i="13"/>
  <c r="AB15"/>
  <c r="AC15"/>
  <c r="D16" i="14"/>
  <c r="AP15" i="13"/>
  <c r="AO15"/>
  <c r="AQ15"/>
  <c r="E16" i="14"/>
  <c r="BC15" i="13"/>
  <c r="BD15"/>
  <c r="BE15"/>
  <c r="F16" i="14"/>
  <c r="BR15" i="13"/>
  <c r="BQ15"/>
  <c r="BS15"/>
  <c r="G16" i="14"/>
  <c r="CE15" i="13"/>
  <c r="CF15"/>
  <c r="CG15"/>
  <c r="H16" i="14"/>
  <c r="CS15" i="13"/>
  <c r="CT15"/>
  <c r="CU15"/>
  <c r="I16" i="14"/>
  <c r="DG15" i="13"/>
  <c r="DH15"/>
  <c r="DI15"/>
  <c r="J16" i="14"/>
  <c r="K16"/>
  <c r="T16"/>
  <c r="S16"/>
  <c r="R16"/>
  <c r="Q16"/>
  <c r="P16"/>
  <c r="O16"/>
  <c r="N16"/>
  <c r="M14" i="13"/>
  <c r="N14"/>
  <c r="O14"/>
  <c r="C15" i="14"/>
  <c r="AA14" i="13"/>
  <c r="AB14"/>
  <c r="AC14"/>
  <c r="D15" i="14"/>
  <c r="AP14" i="13"/>
  <c r="AO14"/>
  <c r="AQ14"/>
  <c r="E15" i="14"/>
  <c r="BC14" i="13"/>
  <c r="BD14"/>
  <c r="BE14"/>
  <c r="F15" i="14"/>
  <c r="BR14" i="13"/>
  <c r="BQ14"/>
  <c r="BS14"/>
  <c r="G15" i="14"/>
  <c r="CE14" i="13"/>
  <c r="CF14"/>
  <c r="CG14"/>
  <c r="H15" i="14"/>
  <c r="CS14" i="13"/>
  <c r="CT14"/>
  <c r="CU14"/>
  <c r="I15" i="14"/>
  <c r="DG14" i="13"/>
  <c r="DH14"/>
  <c r="DI14"/>
  <c r="J15" i="14"/>
  <c r="K15"/>
  <c r="T15"/>
  <c r="S15"/>
  <c r="R15"/>
  <c r="Q15"/>
  <c r="P15"/>
  <c r="O15"/>
  <c r="N15"/>
  <c r="M13" i="13"/>
  <c r="N13"/>
  <c r="O13"/>
  <c r="C14" i="14"/>
  <c r="AA13" i="13"/>
  <c r="AB13"/>
  <c r="AC13"/>
  <c r="D14" i="14"/>
  <c r="AP13" i="13"/>
  <c r="AO13"/>
  <c r="AQ13"/>
  <c r="E14" i="14"/>
  <c r="BC13" i="13"/>
  <c r="BD13"/>
  <c r="BE13"/>
  <c r="F14" i="14"/>
  <c r="BR13" i="13"/>
  <c r="BQ13"/>
  <c r="BS13"/>
  <c r="G14" i="14"/>
  <c r="CE13" i="13"/>
  <c r="CF13"/>
  <c r="CG13"/>
  <c r="H14" i="14"/>
  <c r="CS13" i="13"/>
  <c r="CT13"/>
  <c r="CU13"/>
  <c r="I14" i="14"/>
  <c r="DG13" i="13"/>
  <c r="DH13"/>
  <c r="DI13"/>
  <c r="J14" i="14"/>
  <c r="K14"/>
  <c r="T14"/>
  <c r="S14"/>
  <c r="R14"/>
  <c r="Q14"/>
  <c r="P14"/>
  <c r="O14"/>
  <c r="N14"/>
  <c r="M12" i="13"/>
  <c r="N12"/>
  <c r="O12"/>
  <c r="C13" i="14"/>
  <c r="AA12" i="13"/>
  <c r="AB12"/>
  <c r="AC12"/>
  <c r="D13" i="14"/>
  <c r="AP12" i="13"/>
  <c r="AO12"/>
  <c r="AQ12"/>
  <c r="E13" i="14"/>
  <c r="BC12" i="13"/>
  <c r="BD12"/>
  <c r="BE12"/>
  <c r="F13" i="14"/>
  <c r="BR12" i="13"/>
  <c r="BQ12"/>
  <c r="BS12"/>
  <c r="G13" i="14"/>
  <c r="CE12" i="13"/>
  <c r="CF12"/>
  <c r="CG12"/>
  <c r="H13" i="14"/>
  <c r="CS12" i="13"/>
  <c r="CT12"/>
  <c r="CU12"/>
  <c r="I13" i="14"/>
  <c r="DG12" i="13"/>
  <c r="DH12"/>
  <c r="DI12"/>
  <c r="J13" i="14"/>
  <c r="K13"/>
  <c r="T13"/>
  <c r="S13"/>
  <c r="R13"/>
  <c r="Q13"/>
  <c r="P13"/>
  <c r="O13"/>
  <c r="N13"/>
  <c r="M11" i="13"/>
  <c r="N11"/>
  <c r="O11"/>
  <c r="C12" i="14"/>
  <c r="AA11" i="13"/>
  <c r="AB11"/>
  <c r="AC11"/>
  <c r="D12" i="14"/>
  <c r="AP11" i="13"/>
  <c r="AO11"/>
  <c r="AQ11"/>
  <c r="E12" i="14"/>
  <c r="BC11" i="13"/>
  <c r="BD11"/>
  <c r="BE11"/>
  <c r="F12" i="14"/>
  <c r="BR11" i="13"/>
  <c r="BQ11"/>
  <c r="BS11"/>
  <c r="G12" i="14"/>
  <c r="CE11" i="13"/>
  <c r="CF11"/>
  <c r="CG11"/>
  <c r="H12" i="14"/>
  <c r="CS11" i="13"/>
  <c r="CT11"/>
  <c r="CU11"/>
  <c r="I12" i="14"/>
  <c r="DG11" i="13"/>
  <c r="DH11"/>
  <c r="DI11"/>
  <c r="J12" i="14"/>
  <c r="K12"/>
  <c r="T12"/>
  <c r="S12"/>
  <c r="R12"/>
  <c r="Q12"/>
  <c r="P12"/>
  <c r="O12"/>
  <c r="N12"/>
  <c r="M10" i="13"/>
  <c r="N10"/>
  <c r="O10"/>
  <c r="C11" i="14"/>
  <c r="AA10" i="13"/>
  <c r="AB10"/>
  <c r="AC10"/>
  <c r="D11" i="14"/>
  <c r="AP10" i="13"/>
  <c r="AO10"/>
  <c r="AQ10"/>
  <c r="E11" i="14"/>
  <c r="BC10" i="13"/>
  <c r="BD10"/>
  <c r="BE10"/>
  <c r="F11" i="14"/>
  <c r="BR10" i="13"/>
  <c r="BQ10"/>
  <c r="BS10"/>
  <c r="G11" i="14"/>
  <c r="CE10" i="13"/>
  <c r="CF10"/>
  <c r="CG10"/>
  <c r="H11" i="14"/>
  <c r="CS10" i="13"/>
  <c r="CT10"/>
  <c r="CU10"/>
  <c r="I11" i="14"/>
  <c r="DG10" i="13"/>
  <c r="DH10"/>
  <c r="DI10"/>
  <c r="J11" i="14"/>
  <c r="K11"/>
  <c r="T11"/>
  <c r="S11"/>
  <c r="R11"/>
  <c r="Q11"/>
  <c r="P11"/>
  <c r="O11"/>
  <c r="N11"/>
  <c r="M9" i="13"/>
  <c r="N9"/>
  <c r="O9"/>
  <c r="C10" i="14"/>
  <c r="AA9" i="13"/>
  <c r="AB9"/>
  <c r="AC9"/>
  <c r="D10" i="14"/>
  <c r="AP9" i="13"/>
  <c r="AO9"/>
  <c r="AQ9"/>
  <c r="E10" i="14"/>
  <c r="BC9" i="13"/>
  <c r="BD9"/>
  <c r="BE9"/>
  <c r="F10" i="14"/>
  <c r="BR9" i="13"/>
  <c r="BQ9"/>
  <c r="BS9"/>
  <c r="G10" i="14"/>
  <c r="CE9" i="13"/>
  <c r="CF9"/>
  <c r="CG9"/>
  <c r="H10" i="14"/>
  <c r="CS9" i="13"/>
  <c r="CT9"/>
  <c r="CU9"/>
  <c r="I10" i="14"/>
  <c r="DG9" i="13"/>
  <c r="DH9"/>
  <c r="DI9"/>
  <c r="J10" i="14"/>
  <c r="K10"/>
  <c r="T10"/>
  <c r="S10"/>
  <c r="R10"/>
  <c r="Q10"/>
  <c r="P10"/>
  <c r="O10"/>
  <c r="N10"/>
  <c r="N8" i="13"/>
  <c r="O8"/>
  <c r="C9" i="14"/>
  <c r="AA8" i="13"/>
  <c r="AB8"/>
  <c r="AC8"/>
  <c r="D9" i="14"/>
  <c r="AP8" i="13"/>
  <c r="AO8"/>
  <c r="AQ8"/>
  <c r="E9" i="14"/>
  <c r="BC8" i="13"/>
  <c r="BD8"/>
  <c r="BE8"/>
  <c r="F9" i="14"/>
  <c r="BR8" i="13"/>
  <c r="BQ8"/>
  <c r="BS8"/>
  <c r="G9" i="14"/>
  <c r="CE8" i="13"/>
  <c r="CF8"/>
  <c r="CG8"/>
  <c r="H9" i="14"/>
  <c r="CS8" i="13"/>
  <c r="CT8"/>
  <c r="CU8"/>
  <c r="I9" i="14"/>
  <c r="DG8" i="13"/>
  <c r="DH8"/>
  <c r="DI8"/>
  <c r="J9" i="14"/>
  <c r="K9"/>
  <c r="T9"/>
  <c r="S9"/>
  <c r="R9"/>
  <c r="Q9"/>
  <c r="P9"/>
  <c r="O9"/>
  <c r="N9"/>
  <c r="K62"/>
  <c r="K121"/>
  <c r="C60" i="15"/>
  <c r="O60"/>
  <c r="C59"/>
  <c r="O59"/>
  <c r="C58"/>
  <c r="O58"/>
  <c r="C57"/>
  <c r="O57"/>
  <c r="C56"/>
  <c r="O56"/>
  <c r="C55"/>
  <c r="O55"/>
  <c r="C54"/>
  <c r="O54"/>
  <c r="C53"/>
  <c r="O53"/>
  <c r="C52"/>
  <c r="O52"/>
  <c r="C51"/>
  <c r="O51"/>
  <c r="C50"/>
  <c r="O50"/>
  <c r="C49"/>
  <c r="O49"/>
  <c r="C48"/>
  <c r="O48"/>
  <c r="C47"/>
  <c r="O47"/>
  <c r="C46"/>
  <c r="O46"/>
  <c r="C45"/>
  <c r="O45"/>
  <c r="C44"/>
  <c r="O44"/>
  <c r="C43"/>
  <c r="O43"/>
  <c r="C42"/>
  <c r="O42"/>
  <c r="C41"/>
  <c r="O41"/>
  <c r="C40"/>
  <c r="O40"/>
  <c r="C39"/>
  <c r="O39"/>
  <c r="C38"/>
  <c r="O38"/>
  <c r="C37"/>
  <c r="O37"/>
  <c r="C36"/>
  <c r="O36"/>
  <c r="C35"/>
  <c r="O35"/>
  <c r="C34"/>
  <c r="O34"/>
  <c r="C33"/>
  <c r="O33"/>
  <c r="C32"/>
  <c r="O32"/>
  <c r="C31"/>
  <c r="O31"/>
  <c r="T30"/>
  <c r="S30"/>
  <c r="R30"/>
  <c r="C30"/>
  <c r="Q30"/>
  <c r="P30"/>
  <c r="O30"/>
  <c r="T29"/>
  <c r="S29"/>
  <c r="R29"/>
  <c r="C29"/>
  <c r="Q29"/>
  <c r="P29"/>
  <c r="O29"/>
  <c r="T28"/>
  <c r="S28"/>
  <c r="R28"/>
  <c r="C28"/>
  <c r="Q28"/>
  <c r="P28"/>
  <c r="O28"/>
  <c r="T27"/>
  <c r="S27"/>
  <c r="R27"/>
  <c r="C27"/>
  <c r="Q27"/>
  <c r="P27"/>
  <c r="O27"/>
  <c r="T26"/>
  <c r="S26"/>
  <c r="R26"/>
  <c r="C26"/>
  <c r="Q26"/>
  <c r="P26"/>
  <c r="O26"/>
  <c r="T25"/>
  <c r="S25"/>
  <c r="R25"/>
  <c r="C25"/>
  <c r="Q25"/>
  <c r="P25"/>
  <c r="O25"/>
  <c r="T24"/>
  <c r="S24"/>
  <c r="R24"/>
  <c r="C24"/>
  <c r="Q24"/>
  <c r="P24"/>
  <c r="O24"/>
  <c r="T23"/>
  <c r="S23"/>
  <c r="R23"/>
  <c r="C23"/>
  <c r="Q23"/>
  <c r="P23"/>
  <c r="O23"/>
  <c r="T22"/>
  <c r="S22"/>
  <c r="R22"/>
  <c r="C22"/>
  <c r="Q22"/>
  <c r="P22"/>
  <c r="O22"/>
  <c r="T21"/>
  <c r="S21"/>
  <c r="R21"/>
  <c r="C21"/>
  <c r="Q21"/>
  <c r="P21"/>
  <c r="O21"/>
  <c r="T20"/>
  <c r="S20"/>
  <c r="R20"/>
  <c r="C20"/>
  <c r="Q20"/>
  <c r="P20"/>
  <c r="O20"/>
  <c r="T19"/>
  <c r="S19"/>
  <c r="R19"/>
  <c r="C19"/>
  <c r="Q19"/>
  <c r="P19"/>
  <c r="O19"/>
  <c r="T18"/>
  <c r="S18"/>
  <c r="R18"/>
  <c r="C18"/>
  <c r="Q18"/>
  <c r="P18"/>
  <c r="O18"/>
  <c r="T17"/>
  <c r="S17"/>
  <c r="R17"/>
  <c r="C17"/>
  <c r="Q17"/>
  <c r="P17"/>
  <c r="O17"/>
  <c r="T16"/>
  <c r="S16"/>
  <c r="R16"/>
  <c r="C16"/>
  <c r="Q16"/>
  <c r="P16"/>
  <c r="O16"/>
  <c r="T15"/>
  <c r="S15"/>
  <c r="R15"/>
  <c r="C15"/>
  <c r="Q15"/>
  <c r="P15"/>
  <c r="O15"/>
  <c r="T14"/>
  <c r="S14"/>
  <c r="R14"/>
  <c r="C14"/>
  <c r="Q14"/>
  <c r="P14"/>
  <c r="O14"/>
  <c r="T13"/>
  <c r="S13"/>
  <c r="R13"/>
  <c r="C13"/>
  <c r="Q13"/>
  <c r="P13"/>
  <c r="O13"/>
  <c r="T12"/>
  <c r="S12"/>
  <c r="R12"/>
  <c r="C12"/>
  <c r="Q12"/>
  <c r="P12"/>
  <c r="O12"/>
  <c r="T11"/>
  <c r="S11"/>
  <c r="R11"/>
  <c r="C11"/>
  <c r="Q11"/>
  <c r="P11"/>
  <c r="O11"/>
  <c r="T10"/>
  <c r="S10"/>
  <c r="R10"/>
  <c r="C10"/>
  <c r="Q10"/>
  <c r="P10"/>
  <c r="O10"/>
  <c r="T9"/>
  <c r="S9"/>
  <c r="R9"/>
  <c r="C9"/>
  <c r="Q9"/>
  <c r="P9"/>
  <c r="O9"/>
  <c r="DT61" i="13"/>
  <c r="DW61"/>
  <c r="DV61"/>
  <c r="DU61"/>
  <c r="DT60"/>
  <c r="DW60"/>
  <c r="DV60"/>
  <c r="DU60"/>
  <c r="DV59"/>
  <c r="DU59"/>
  <c r="DV58"/>
  <c r="DU58"/>
  <c r="DV57"/>
  <c r="DU57"/>
  <c r="DV56"/>
  <c r="DU56"/>
  <c r="DV55"/>
  <c r="DU55"/>
  <c r="DV54"/>
  <c r="DU54"/>
  <c r="DV53"/>
  <c r="DU53"/>
  <c r="DV52"/>
  <c r="DU52"/>
  <c r="DV51"/>
  <c r="DU51"/>
  <c r="DV50"/>
  <c r="DU50"/>
  <c r="DV49"/>
  <c r="DU49"/>
  <c r="DV48"/>
  <c r="DU48"/>
  <c r="DV47"/>
  <c r="DU47"/>
  <c r="DV46"/>
  <c r="DU46"/>
  <c r="DV45"/>
  <c r="DU45"/>
  <c r="DV44"/>
  <c r="DU44"/>
  <c r="DV43"/>
  <c r="DU43"/>
  <c r="DV42"/>
  <c r="DU42"/>
  <c r="DV41"/>
  <c r="DU41"/>
  <c r="DV40"/>
  <c r="DU40"/>
  <c r="DV39"/>
  <c r="DU39"/>
  <c r="DV38"/>
  <c r="DU38"/>
  <c r="DO63"/>
  <c r="DQ63"/>
  <c r="DR61"/>
  <c r="DK9"/>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DK49"/>
  <c r="DK50"/>
  <c r="DK51"/>
  <c r="DK52"/>
  <c r="DK53"/>
  <c r="DK54"/>
  <c r="DK55"/>
  <c r="DK56"/>
  <c r="DK57"/>
  <c r="DK58"/>
  <c r="DK59"/>
  <c r="DK60"/>
  <c r="DK61"/>
  <c r="DL9"/>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DL49"/>
  <c r="DL50"/>
  <c r="DL51"/>
  <c r="DL52"/>
  <c r="DL53"/>
  <c r="DL54"/>
  <c r="DL55"/>
  <c r="DL56"/>
  <c r="DL57"/>
  <c r="DL58"/>
  <c r="DL59"/>
  <c r="DL60"/>
  <c r="DR60"/>
  <c r="DR59"/>
  <c r="DR58"/>
  <c r="DR57"/>
  <c r="DR56"/>
  <c r="DR55"/>
  <c r="DR54"/>
  <c r="DR53"/>
  <c r="DR52"/>
  <c r="DR51"/>
  <c r="DR50"/>
  <c r="DR49"/>
  <c r="DR48"/>
  <c r="DR47"/>
  <c r="DR46"/>
  <c r="DR45"/>
  <c r="DR44"/>
  <c r="DR43"/>
  <c r="DR42"/>
  <c r="DR41"/>
  <c r="DR40"/>
  <c r="DR39"/>
  <c r="DR38"/>
  <c r="DR37"/>
  <c r="DR36"/>
  <c r="DR35"/>
  <c r="DR34"/>
  <c r="DR33"/>
  <c r="DR32"/>
  <c r="DR31"/>
  <c r="DR30"/>
  <c r="DR29"/>
  <c r="DR28"/>
  <c r="DR27"/>
  <c r="DR26"/>
  <c r="DR25"/>
  <c r="DR24"/>
  <c r="DR23"/>
  <c r="DR22"/>
  <c r="DR21"/>
  <c r="DR20"/>
  <c r="DR19"/>
  <c r="DR18"/>
  <c r="DR17"/>
  <c r="DR16"/>
  <c r="DR15"/>
  <c r="DR14"/>
  <c r="DR13"/>
  <c r="DR12"/>
  <c r="DR11"/>
  <c r="DR10"/>
  <c r="DR9"/>
  <c r="DR8"/>
  <c r="L59"/>
  <c r="C119" i="14"/>
  <c r="Z59" i="13"/>
  <c r="D119" i="14"/>
  <c r="AN59" i="13"/>
  <c r="E119" i="14"/>
  <c r="BB59" i="13"/>
  <c r="F119" i="14"/>
  <c r="BP59" i="13"/>
  <c r="G119" i="14"/>
  <c r="CD59" i="13"/>
  <c r="H119" i="14"/>
  <c r="T119"/>
  <c r="L58" i="13"/>
  <c r="C118" i="14"/>
  <c r="Z58" i="13"/>
  <c r="D118" i="14"/>
  <c r="AN58" i="13"/>
  <c r="E118" i="14"/>
  <c r="BB58" i="13"/>
  <c r="F118" i="14"/>
  <c r="BP58" i="13"/>
  <c r="G118" i="14"/>
  <c r="CD58" i="13"/>
  <c r="H118" i="14"/>
  <c r="T118"/>
  <c r="L57" i="13"/>
  <c r="C117" i="14"/>
  <c r="Z57" i="13"/>
  <c r="D117" i="14"/>
  <c r="AN57" i="13"/>
  <c r="E117" i="14"/>
  <c r="BB57" i="13"/>
  <c r="F117" i="14"/>
  <c r="BP57" i="13"/>
  <c r="G117" i="14"/>
  <c r="CD57" i="13"/>
  <c r="H117" i="14"/>
  <c r="T117"/>
  <c r="L56" i="13"/>
  <c r="C116" i="14"/>
  <c r="Z56" i="13"/>
  <c r="D116" i="14"/>
  <c r="AN56" i="13"/>
  <c r="E116" i="14"/>
  <c r="BB56" i="13"/>
  <c r="F116" i="14"/>
  <c r="BP56" i="13"/>
  <c r="G116" i="14"/>
  <c r="CD56" i="13"/>
  <c r="H116" i="14"/>
  <c r="T116"/>
  <c r="L55" i="13"/>
  <c r="C115" i="14"/>
  <c r="Z55" i="13"/>
  <c r="D115" i="14"/>
  <c r="AN55" i="13"/>
  <c r="E115" i="14"/>
  <c r="BB55" i="13"/>
  <c r="F115" i="14"/>
  <c r="BP55" i="13"/>
  <c r="G115" i="14"/>
  <c r="CD55" i="13"/>
  <c r="H115" i="14"/>
  <c r="T115"/>
  <c r="L54" i="13"/>
  <c r="C114" i="14"/>
  <c r="Z54" i="13"/>
  <c r="D114" i="14"/>
  <c r="AN54" i="13"/>
  <c r="E114" i="14"/>
  <c r="BB54" i="13"/>
  <c r="F114" i="14"/>
  <c r="BP54" i="13"/>
  <c r="G114" i="14"/>
  <c r="CD54" i="13"/>
  <c r="H114" i="14"/>
  <c r="T114"/>
  <c r="L53" i="13"/>
  <c r="C113" i="14"/>
  <c r="Z53" i="13"/>
  <c r="D113" i="14"/>
  <c r="AN53" i="13"/>
  <c r="E113" i="14"/>
  <c r="BB53" i="13"/>
  <c r="F113" i="14"/>
  <c r="BP53" i="13"/>
  <c r="G113" i="14"/>
  <c r="CD53" i="13"/>
  <c r="H113" i="14"/>
  <c r="T113"/>
  <c r="L52" i="13"/>
  <c r="C112" i="14"/>
  <c r="Z52" i="13"/>
  <c r="D112" i="14"/>
  <c r="AN52" i="13"/>
  <c r="E112" i="14"/>
  <c r="BB52" i="13"/>
  <c r="F112" i="14"/>
  <c r="BP52" i="13"/>
  <c r="G112" i="14"/>
  <c r="CD52" i="13"/>
  <c r="H112" i="14"/>
  <c r="T112"/>
  <c r="L51" i="13"/>
  <c r="C111" i="14"/>
  <c r="Z51" i="13"/>
  <c r="D111" i="14"/>
  <c r="AN51" i="13"/>
  <c r="E111" i="14"/>
  <c r="BB51" i="13"/>
  <c r="F111" i="14"/>
  <c r="BP51" i="13"/>
  <c r="G111" i="14"/>
  <c r="CD51" i="13"/>
  <c r="H111" i="14"/>
  <c r="T111"/>
  <c r="L50" i="13"/>
  <c r="C110" i="14"/>
  <c r="Z50" i="13"/>
  <c r="D110" i="14"/>
  <c r="AN50" i="13"/>
  <c r="E110" i="14"/>
  <c r="BB50" i="13"/>
  <c r="F110" i="14"/>
  <c r="BP50" i="13"/>
  <c r="G110" i="14"/>
  <c r="CD50" i="13"/>
  <c r="H110" i="14"/>
  <c r="T110"/>
  <c r="L49" i="13"/>
  <c r="C109" i="14"/>
  <c r="Z49" i="13"/>
  <c r="D109" i="14"/>
  <c r="AN49" i="13"/>
  <c r="E109" i="14"/>
  <c r="BB49" i="13"/>
  <c r="F109" i="14"/>
  <c r="BP49" i="13"/>
  <c r="G109" i="14"/>
  <c r="CD49" i="13"/>
  <c r="H109" i="14"/>
  <c r="T109"/>
  <c r="L48" i="13"/>
  <c r="C108" i="14"/>
  <c r="Z48" i="13"/>
  <c r="D108" i="14"/>
  <c r="AN48" i="13"/>
  <c r="E108" i="14"/>
  <c r="BB48" i="13"/>
  <c r="F108" i="14"/>
  <c r="BP48" i="13"/>
  <c r="G108" i="14"/>
  <c r="CD48" i="13"/>
  <c r="H108" i="14"/>
  <c r="T108"/>
  <c r="L47" i="13"/>
  <c r="C107" i="14"/>
  <c r="Z47" i="13"/>
  <c r="D107" i="14"/>
  <c r="AN47" i="13"/>
  <c r="E107" i="14"/>
  <c r="BB47" i="13"/>
  <c r="F107" i="14"/>
  <c r="BP47" i="13"/>
  <c r="G107" i="14"/>
  <c r="CD47" i="13"/>
  <c r="H107" i="14"/>
  <c r="CR47" i="13"/>
  <c r="I107" i="14"/>
  <c r="T107"/>
  <c r="L46" i="13"/>
  <c r="C106" i="14"/>
  <c r="Z46" i="13"/>
  <c r="D106" i="14"/>
  <c r="AN46" i="13"/>
  <c r="E106" i="14"/>
  <c r="BB46" i="13"/>
  <c r="F106" i="14"/>
  <c r="BP46" i="13"/>
  <c r="G106" i="14"/>
  <c r="CD46" i="13"/>
  <c r="H106" i="14"/>
  <c r="CR46" i="13"/>
  <c r="I106" i="14"/>
  <c r="T106"/>
  <c r="L45" i="13"/>
  <c r="C105" i="14"/>
  <c r="Z45" i="13"/>
  <c r="D105" i="14"/>
  <c r="AN45" i="13"/>
  <c r="E105" i="14"/>
  <c r="BB45" i="13"/>
  <c r="F105" i="14"/>
  <c r="BP45" i="13"/>
  <c r="G105" i="14"/>
  <c r="CD45" i="13"/>
  <c r="H105" i="14"/>
  <c r="CR45" i="13"/>
  <c r="I105" i="14"/>
  <c r="T105"/>
  <c r="L44" i="13"/>
  <c r="C104" i="14"/>
  <c r="Z44" i="13"/>
  <c r="D104" i="14"/>
  <c r="AN44" i="13"/>
  <c r="E104" i="14"/>
  <c r="BB44" i="13"/>
  <c r="F104" i="14"/>
  <c r="BP44" i="13"/>
  <c r="G104" i="14"/>
  <c r="CD44" i="13"/>
  <c r="H104" i="14"/>
  <c r="CR44" i="13"/>
  <c r="I104" i="14"/>
  <c r="T104"/>
  <c r="L43" i="13"/>
  <c r="C103" i="14"/>
  <c r="Z43" i="13"/>
  <c r="D103" i="14"/>
  <c r="AN43" i="13"/>
  <c r="E103" i="14"/>
  <c r="BB43" i="13"/>
  <c r="F103" i="14"/>
  <c r="BP43" i="13"/>
  <c r="G103" i="14"/>
  <c r="CD43" i="13"/>
  <c r="H103" i="14"/>
  <c r="CR43" i="13"/>
  <c r="I103" i="14"/>
  <c r="T103"/>
  <c r="L42" i="13"/>
  <c r="C102" i="14"/>
  <c r="Z42" i="13"/>
  <c r="D102" i="14"/>
  <c r="AN42" i="13"/>
  <c r="E102" i="14"/>
  <c r="BB42" i="13"/>
  <c r="F102" i="14"/>
  <c r="BP42" i="13"/>
  <c r="G102" i="14"/>
  <c r="CD42" i="13"/>
  <c r="H102" i="14"/>
  <c r="CR42" i="13"/>
  <c r="I102" i="14"/>
  <c r="T102"/>
  <c r="L41" i="13"/>
  <c r="C101" i="14"/>
  <c r="Z41" i="13"/>
  <c r="D101" i="14"/>
  <c r="AN41" i="13"/>
  <c r="E101" i="14"/>
  <c r="BB41" i="13"/>
  <c r="F101" i="14"/>
  <c r="BP41" i="13"/>
  <c r="G101" i="14"/>
  <c r="CD41" i="13"/>
  <c r="H101" i="14"/>
  <c r="CR41" i="13"/>
  <c r="I101" i="14"/>
  <c r="T101"/>
  <c r="L40" i="13"/>
  <c r="C100" i="14"/>
  <c r="Z40" i="13"/>
  <c r="D100" i="14"/>
  <c r="AN40" i="13"/>
  <c r="E100" i="14"/>
  <c r="BB40" i="13"/>
  <c r="F100" i="14"/>
  <c r="BP40" i="13"/>
  <c r="G100" i="14"/>
  <c r="CD40" i="13"/>
  <c r="H100" i="14"/>
  <c r="CR40" i="13"/>
  <c r="I100" i="14"/>
  <c r="T100"/>
  <c r="L39" i="13"/>
  <c r="C99" i="14"/>
  <c r="Z39" i="13"/>
  <c r="D99" i="14"/>
  <c r="AN39" i="13"/>
  <c r="E99" i="14"/>
  <c r="BB39" i="13"/>
  <c r="F99" i="14"/>
  <c r="BP39" i="13"/>
  <c r="G99" i="14"/>
  <c r="CD39" i="13"/>
  <c r="H99" i="14"/>
  <c r="CR39" i="13"/>
  <c r="I99" i="14"/>
  <c r="T99"/>
  <c r="L38" i="13"/>
  <c r="C98" i="14"/>
  <c r="Z38" i="13"/>
  <c r="D98" i="14"/>
  <c r="AN38" i="13"/>
  <c r="E98" i="14"/>
  <c r="BB38" i="13"/>
  <c r="F98" i="14"/>
  <c r="BP38" i="13"/>
  <c r="G98" i="14"/>
  <c r="CD38" i="13"/>
  <c r="H98" i="14"/>
  <c r="CR38" i="13"/>
  <c r="I98" i="14"/>
  <c r="T98"/>
  <c r="L37" i="13"/>
  <c r="C97" i="14"/>
  <c r="Z37" i="13"/>
  <c r="D97" i="14"/>
  <c r="AN37" i="13"/>
  <c r="E97" i="14"/>
  <c r="BB37" i="13"/>
  <c r="F97" i="14"/>
  <c r="BP37" i="13"/>
  <c r="G97" i="14"/>
  <c r="CD37" i="13"/>
  <c r="H97" i="14"/>
  <c r="CR37" i="13"/>
  <c r="I97" i="14"/>
  <c r="T97"/>
  <c r="L36" i="13"/>
  <c r="C96" i="14"/>
  <c r="Z36" i="13"/>
  <c r="D96" i="14"/>
  <c r="AN36" i="13"/>
  <c r="E96" i="14"/>
  <c r="BB36" i="13"/>
  <c r="F96" i="14"/>
  <c r="BP36" i="13"/>
  <c r="G96" i="14"/>
  <c r="CD36" i="13"/>
  <c r="H96" i="14"/>
  <c r="CR36" i="13"/>
  <c r="I96" i="14"/>
  <c r="T96"/>
  <c r="L35" i="13"/>
  <c r="C95" i="14"/>
  <c r="Z35" i="13"/>
  <c r="D95" i="14"/>
  <c r="AN35" i="13"/>
  <c r="E95" i="14"/>
  <c r="BB35" i="13"/>
  <c r="F95" i="14"/>
  <c r="BP35" i="13"/>
  <c r="G95" i="14"/>
  <c r="CD35" i="13"/>
  <c r="H95" i="14"/>
  <c r="CR35" i="13"/>
  <c r="I95" i="14"/>
  <c r="T95"/>
  <c r="L34" i="13"/>
  <c r="C94" i="14"/>
  <c r="Z34" i="13"/>
  <c r="D94" i="14"/>
  <c r="AN34" i="13"/>
  <c r="E94" i="14"/>
  <c r="BB34" i="13"/>
  <c r="F94" i="14"/>
  <c r="BP34" i="13"/>
  <c r="G94" i="14"/>
  <c r="CD34" i="13"/>
  <c r="H94" i="14"/>
  <c r="CR34" i="13"/>
  <c r="I94" i="14"/>
  <c r="T94"/>
  <c r="L33" i="13"/>
  <c r="C93" i="14"/>
  <c r="Z33" i="13"/>
  <c r="D93" i="14"/>
  <c r="AN33" i="13"/>
  <c r="E93" i="14"/>
  <c r="BB33" i="13"/>
  <c r="F93" i="14"/>
  <c r="BP33" i="13"/>
  <c r="G93" i="14"/>
  <c r="CD33" i="13"/>
  <c r="H93" i="14"/>
  <c r="CR33" i="13"/>
  <c r="I93" i="14"/>
  <c r="T93"/>
  <c r="L32" i="13"/>
  <c r="C92" i="14"/>
  <c r="Z32" i="13"/>
  <c r="D92" i="14"/>
  <c r="AN32" i="13"/>
  <c r="E92" i="14"/>
  <c r="BB32" i="13"/>
  <c r="F92" i="14"/>
  <c r="BP32" i="13"/>
  <c r="G92" i="14"/>
  <c r="CD32" i="13"/>
  <c r="H92" i="14"/>
  <c r="CR32" i="13"/>
  <c r="I92" i="14"/>
  <c r="T92"/>
  <c r="L31" i="13"/>
  <c r="C91" i="14"/>
  <c r="Z31" i="13"/>
  <c r="D91" i="14"/>
  <c r="AN31" i="13"/>
  <c r="E91" i="14"/>
  <c r="BB31" i="13"/>
  <c r="F91" i="14"/>
  <c r="BP31" i="13"/>
  <c r="G91" i="14"/>
  <c r="CD31" i="13"/>
  <c r="H91" i="14"/>
  <c r="CR31" i="13"/>
  <c r="I91" i="14"/>
  <c r="T91"/>
  <c r="L30" i="13"/>
  <c r="C90" i="14"/>
  <c r="Z30" i="13"/>
  <c r="D90" i="14"/>
  <c r="AN30" i="13"/>
  <c r="E90" i="14"/>
  <c r="BB30" i="13"/>
  <c r="F90" i="14"/>
  <c r="BP30" i="13"/>
  <c r="G90" i="14"/>
  <c r="CD30" i="13"/>
  <c r="H90" i="14"/>
  <c r="CR30" i="13"/>
  <c r="I90" i="14"/>
  <c r="T90"/>
  <c r="M59" i="13"/>
  <c r="N59"/>
  <c r="O59"/>
  <c r="C60" i="14"/>
  <c r="AA59" i="13"/>
  <c r="AB59"/>
  <c r="AC59"/>
  <c r="D60" i="14"/>
  <c r="AP59" i="13"/>
  <c r="AO59"/>
  <c r="AQ59"/>
  <c r="E60" i="14"/>
  <c r="BC59" i="13"/>
  <c r="BD59"/>
  <c r="BE59"/>
  <c r="F60" i="14"/>
  <c r="BR59" i="13"/>
  <c r="BQ59"/>
  <c r="BS59"/>
  <c r="G60" i="14"/>
  <c r="CE59" i="13"/>
  <c r="CF59"/>
  <c r="CG59"/>
  <c r="H60" i="14"/>
  <c r="CS59" i="13"/>
  <c r="CT59"/>
  <c r="CU59"/>
  <c r="I60" i="14"/>
  <c r="T60"/>
  <c r="M58" i="13"/>
  <c r="N58"/>
  <c r="O58"/>
  <c r="C59" i="14"/>
  <c r="AA58" i="13"/>
  <c r="AB58"/>
  <c r="AC58"/>
  <c r="D59" i="14"/>
  <c r="AP58" i="13"/>
  <c r="AO58"/>
  <c r="AQ58"/>
  <c r="E59" i="14"/>
  <c r="BC58" i="13"/>
  <c r="BD58"/>
  <c r="BE58"/>
  <c r="F59" i="14"/>
  <c r="BR58" i="13"/>
  <c r="BQ58"/>
  <c r="BS58"/>
  <c r="G59" i="14"/>
  <c r="CE58" i="13"/>
  <c r="CF58"/>
  <c r="CG58"/>
  <c r="H59" i="14"/>
  <c r="CS58" i="13"/>
  <c r="CT58"/>
  <c r="CU58"/>
  <c r="I59" i="14"/>
  <c r="T59"/>
  <c r="M57" i="13"/>
  <c r="N57"/>
  <c r="O57"/>
  <c r="C58" i="14"/>
  <c r="AA57" i="13"/>
  <c r="AB57"/>
  <c r="AC57"/>
  <c r="D58" i="14"/>
  <c r="AP57" i="13"/>
  <c r="AO57"/>
  <c r="AQ57"/>
  <c r="E58" i="14"/>
  <c r="BC57" i="13"/>
  <c r="BD57"/>
  <c r="BE57"/>
  <c r="F58" i="14"/>
  <c r="BR57" i="13"/>
  <c r="BQ57"/>
  <c r="BS57"/>
  <c r="G58" i="14"/>
  <c r="CE57" i="13"/>
  <c r="CF57"/>
  <c r="CG57"/>
  <c r="H58" i="14"/>
  <c r="CS57" i="13"/>
  <c r="CT57"/>
  <c r="CU57"/>
  <c r="I58" i="14"/>
  <c r="T58"/>
  <c r="M56" i="13"/>
  <c r="N56"/>
  <c r="O56"/>
  <c r="C57" i="14"/>
  <c r="AA56" i="13"/>
  <c r="AB56"/>
  <c r="AC56"/>
  <c r="D57" i="14"/>
  <c r="AP56" i="13"/>
  <c r="AO56"/>
  <c r="AQ56"/>
  <c r="E57" i="14"/>
  <c r="BC56" i="13"/>
  <c r="BD56"/>
  <c r="BE56"/>
  <c r="F57" i="14"/>
  <c r="BR56" i="13"/>
  <c r="BQ56"/>
  <c r="BS56"/>
  <c r="G57" i="14"/>
  <c r="CE56" i="13"/>
  <c r="CF56"/>
  <c r="CG56"/>
  <c r="H57" i="14"/>
  <c r="CS56" i="13"/>
  <c r="CT56"/>
  <c r="CU56"/>
  <c r="I57" i="14"/>
  <c r="T57"/>
  <c r="M55" i="13"/>
  <c r="N55"/>
  <c r="O55"/>
  <c r="C56" i="14"/>
  <c r="AA55" i="13"/>
  <c r="AB55"/>
  <c r="AC55"/>
  <c r="D56" i="14"/>
  <c r="AP55" i="13"/>
  <c r="AO55"/>
  <c r="AQ55"/>
  <c r="E56" i="14"/>
  <c r="BC55" i="13"/>
  <c r="BD55"/>
  <c r="BE55"/>
  <c r="F56" i="14"/>
  <c r="BR55" i="13"/>
  <c r="BQ55"/>
  <c r="BS55"/>
  <c r="G56" i="14"/>
  <c r="CE55" i="13"/>
  <c r="CF55"/>
  <c r="CG55"/>
  <c r="H56" i="14"/>
  <c r="CS55" i="13"/>
  <c r="CT55"/>
  <c r="CU55"/>
  <c r="I56" i="14"/>
  <c r="T56"/>
  <c r="M54" i="13"/>
  <c r="N54"/>
  <c r="O54"/>
  <c r="C55" i="14"/>
  <c r="AA54" i="13"/>
  <c r="AB54"/>
  <c r="AC54"/>
  <c r="D55" i="14"/>
  <c r="AP54" i="13"/>
  <c r="AO54"/>
  <c r="AQ54"/>
  <c r="E55" i="14"/>
  <c r="BC54" i="13"/>
  <c r="BD54"/>
  <c r="BE54"/>
  <c r="F55" i="14"/>
  <c r="BR54" i="13"/>
  <c r="BQ54"/>
  <c r="BS54"/>
  <c r="G55" i="14"/>
  <c r="CE54" i="13"/>
  <c r="CF54"/>
  <c r="CG54"/>
  <c r="H55" i="14"/>
  <c r="CS54" i="13"/>
  <c r="CT54"/>
  <c r="CU54"/>
  <c r="I55" i="14"/>
  <c r="T55"/>
  <c r="M53" i="13"/>
  <c r="N53"/>
  <c r="O53"/>
  <c r="C54" i="14"/>
  <c r="AA53" i="13"/>
  <c r="AB53"/>
  <c r="AC53"/>
  <c r="D54" i="14"/>
  <c r="AP53" i="13"/>
  <c r="AO53"/>
  <c r="AQ53"/>
  <c r="E54" i="14"/>
  <c r="BC53" i="13"/>
  <c r="BD53"/>
  <c r="BE53"/>
  <c r="F54" i="14"/>
  <c r="BR53" i="13"/>
  <c r="BQ53"/>
  <c r="BS53"/>
  <c r="G54" i="14"/>
  <c r="CE53" i="13"/>
  <c r="CF53"/>
  <c r="CG53"/>
  <c r="H54" i="14"/>
  <c r="CS53" i="13"/>
  <c r="CT53"/>
  <c r="CU53"/>
  <c r="I54" i="14"/>
  <c r="T54"/>
  <c r="M52" i="13"/>
  <c r="N52"/>
  <c r="O52"/>
  <c r="C53" i="14"/>
  <c r="AA52" i="13"/>
  <c r="AB52"/>
  <c r="AC52"/>
  <c r="D53" i="14"/>
  <c r="AP52" i="13"/>
  <c r="AO52"/>
  <c r="AQ52"/>
  <c r="E53" i="14"/>
  <c r="BC52" i="13"/>
  <c r="BD52"/>
  <c r="BE52"/>
  <c r="F53" i="14"/>
  <c r="BR52" i="13"/>
  <c r="BQ52"/>
  <c r="BS52"/>
  <c r="G53" i="14"/>
  <c r="CE52" i="13"/>
  <c r="CF52"/>
  <c r="CG52"/>
  <c r="H53" i="14"/>
  <c r="CS52" i="13"/>
  <c r="CT52"/>
  <c r="CU52"/>
  <c r="I53" i="14"/>
  <c r="T53"/>
  <c r="M51" i="13"/>
  <c r="N51"/>
  <c r="O51"/>
  <c r="C52" i="14"/>
  <c r="AA51" i="13"/>
  <c r="AB51"/>
  <c r="AC51"/>
  <c r="D52" i="14"/>
  <c r="AP51" i="13"/>
  <c r="AO51"/>
  <c r="AQ51"/>
  <c r="E52" i="14"/>
  <c r="BC51" i="13"/>
  <c r="BD51"/>
  <c r="BE51"/>
  <c r="F52" i="14"/>
  <c r="BR51" i="13"/>
  <c r="BQ51"/>
  <c r="BS51"/>
  <c r="G52" i="14"/>
  <c r="CE51" i="13"/>
  <c r="CF51"/>
  <c r="CG51"/>
  <c r="H52" i="14"/>
  <c r="CS51" i="13"/>
  <c r="CT51"/>
  <c r="CU51"/>
  <c r="I52" i="14"/>
  <c r="T52"/>
  <c r="M50" i="13"/>
  <c r="N50"/>
  <c r="O50"/>
  <c r="C51" i="14"/>
  <c r="AA50" i="13"/>
  <c r="AB50"/>
  <c r="AC50"/>
  <c r="D51" i="14"/>
  <c r="AP50" i="13"/>
  <c r="AO50"/>
  <c r="AQ50"/>
  <c r="E51" i="14"/>
  <c r="BC50" i="13"/>
  <c r="BD50"/>
  <c r="BE50"/>
  <c r="F51" i="14"/>
  <c r="BR50" i="13"/>
  <c r="BQ50"/>
  <c r="BS50"/>
  <c r="G51" i="14"/>
  <c r="CE50" i="13"/>
  <c r="CF50"/>
  <c r="CG50"/>
  <c r="H51" i="14"/>
  <c r="CS50" i="13"/>
  <c r="CT50"/>
  <c r="CU50"/>
  <c r="I51" i="14"/>
  <c r="T51"/>
  <c r="M49" i="13"/>
  <c r="N49"/>
  <c r="O49"/>
  <c r="C50" i="14"/>
  <c r="AA49" i="13"/>
  <c r="AB49"/>
  <c r="AC49"/>
  <c r="D50" i="14"/>
  <c r="AP49" i="13"/>
  <c r="AO49"/>
  <c r="AQ49"/>
  <c r="E50" i="14"/>
  <c r="BC49" i="13"/>
  <c r="BD49"/>
  <c r="BE49"/>
  <c r="F50" i="14"/>
  <c r="BR49" i="13"/>
  <c r="BQ49"/>
  <c r="BS49"/>
  <c r="G50" i="14"/>
  <c r="CE49" i="13"/>
  <c r="CF49"/>
  <c r="CG49"/>
  <c r="H50" i="14"/>
  <c r="CS49" i="13"/>
  <c r="CT49"/>
  <c r="CU49"/>
  <c r="I50" i="14"/>
  <c r="T50"/>
  <c r="M48" i="13"/>
  <c r="N48"/>
  <c r="O48"/>
  <c r="C49" i="14"/>
  <c r="AA48" i="13"/>
  <c r="AB48"/>
  <c r="AC48"/>
  <c r="D49" i="14"/>
  <c r="AP48" i="13"/>
  <c r="AO48"/>
  <c r="AQ48"/>
  <c r="E49" i="14"/>
  <c r="BC48" i="13"/>
  <c r="BD48"/>
  <c r="BE48"/>
  <c r="F49" i="14"/>
  <c r="BR48" i="13"/>
  <c r="BQ48"/>
  <c r="BS48"/>
  <c r="G49" i="14"/>
  <c r="CE48" i="13"/>
  <c r="CF48"/>
  <c r="CG48"/>
  <c r="H49" i="14"/>
  <c r="CS48" i="13"/>
  <c r="CT48"/>
  <c r="CU48"/>
  <c r="I49" i="14"/>
  <c r="T49"/>
  <c r="M47" i="13"/>
  <c r="N47"/>
  <c r="O47"/>
  <c r="C48" i="14"/>
  <c r="AA47" i="13"/>
  <c r="AB47"/>
  <c r="AC47"/>
  <c r="D48" i="14"/>
  <c r="AP47" i="13"/>
  <c r="AO47"/>
  <c r="AQ47"/>
  <c r="E48" i="14"/>
  <c r="BC47" i="13"/>
  <c r="BD47"/>
  <c r="BE47"/>
  <c r="F48" i="14"/>
  <c r="BR47" i="13"/>
  <c r="BQ47"/>
  <c r="BS47"/>
  <c r="G48" i="14"/>
  <c r="CE47" i="13"/>
  <c r="CF47"/>
  <c r="CG47"/>
  <c r="H48" i="14"/>
  <c r="CS47" i="13"/>
  <c r="CT47"/>
  <c r="CU47"/>
  <c r="I48" i="14"/>
  <c r="DG47" i="13"/>
  <c r="DH47"/>
  <c r="DI47"/>
  <c r="J48" i="14"/>
  <c r="T48"/>
  <c r="M46" i="13"/>
  <c r="N46"/>
  <c r="O46"/>
  <c r="C47" i="14"/>
  <c r="AA46" i="13"/>
  <c r="AB46"/>
  <c r="AC46"/>
  <c r="D47" i="14"/>
  <c r="AP46" i="13"/>
  <c r="AO46"/>
  <c r="AQ46"/>
  <c r="E47" i="14"/>
  <c r="BC46" i="13"/>
  <c r="BD46"/>
  <c r="BE46"/>
  <c r="F47" i="14"/>
  <c r="BR46" i="13"/>
  <c r="BQ46"/>
  <c r="BS46"/>
  <c r="G47" i="14"/>
  <c r="CE46" i="13"/>
  <c r="CF46"/>
  <c r="CG46"/>
  <c r="H47" i="14"/>
  <c r="CS46" i="13"/>
  <c r="CT46"/>
  <c r="CU46"/>
  <c r="I47" i="14"/>
  <c r="DG46" i="13"/>
  <c r="DH46"/>
  <c r="DI46"/>
  <c r="J47" i="14"/>
  <c r="T47"/>
  <c r="M45" i="13"/>
  <c r="N45"/>
  <c r="O45"/>
  <c r="C46" i="14"/>
  <c r="AA45" i="13"/>
  <c r="AB45"/>
  <c r="AC45"/>
  <c r="D46" i="14"/>
  <c r="AP45" i="13"/>
  <c r="AO45"/>
  <c r="AQ45"/>
  <c r="E46" i="14"/>
  <c r="BC45" i="13"/>
  <c r="BD45"/>
  <c r="BE45"/>
  <c r="F46" i="14"/>
  <c r="BR45" i="13"/>
  <c r="BQ45"/>
  <c r="BS45"/>
  <c r="G46" i="14"/>
  <c r="CE45" i="13"/>
  <c r="CF45"/>
  <c r="CG45"/>
  <c r="H46" i="14"/>
  <c r="CS45" i="13"/>
  <c r="CT45"/>
  <c r="CU45"/>
  <c r="I46" i="14"/>
  <c r="DG45" i="13"/>
  <c r="DH45"/>
  <c r="DI45"/>
  <c r="J46" i="14"/>
  <c r="T46"/>
  <c r="M44" i="13"/>
  <c r="N44"/>
  <c r="O44"/>
  <c r="C45" i="14"/>
  <c r="AA44" i="13"/>
  <c r="AB44"/>
  <c r="AC44"/>
  <c r="D45" i="14"/>
  <c r="AP44" i="13"/>
  <c r="AO44"/>
  <c r="AQ44"/>
  <c r="E45" i="14"/>
  <c r="BC44" i="13"/>
  <c r="BD44"/>
  <c r="BE44"/>
  <c r="F45" i="14"/>
  <c r="BR44" i="13"/>
  <c r="BQ44"/>
  <c r="BS44"/>
  <c r="G45" i="14"/>
  <c r="CE44" i="13"/>
  <c r="CF44"/>
  <c r="CG44"/>
  <c r="H45" i="14"/>
  <c r="CS44" i="13"/>
  <c r="CT44"/>
  <c r="CU44"/>
  <c r="I45" i="14"/>
  <c r="DG44" i="13"/>
  <c r="DH44"/>
  <c r="DI44"/>
  <c r="J45" i="14"/>
  <c r="T45"/>
  <c r="M43" i="13"/>
  <c r="N43"/>
  <c r="O43"/>
  <c r="C44" i="14"/>
  <c r="AA43" i="13"/>
  <c r="AB43"/>
  <c r="AC43"/>
  <c r="D44" i="14"/>
  <c r="AP43" i="13"/>
  <c r="AO43"/>
  <c r="AQ43"/>
  <c r="E44" i="14"/>
  <c r="BC43" i="13"/>
  <c r="BD43"/>
  <c r="BE43"/>
  <c r="F44" i="14"/>
  <c r="BR43" i="13"/>
  <c r="BQ43"/>
  <c r="BS43"/>
  <c r="G44" i="14"/>
  <c r="CE43" i="13"/>
  <c r="CF43"/>
  <c r="CG43"/>
  <c r="H44" i="14"/>
  <c r="CS43" i="13"/>
  <c r="CT43"/>
  <c r="CU43"/>
  <c r="I44" i="14"/>
  <c r="DG43" i="13"/>
  <c r="DH43"/>
  <c r="DI43"/>
  <c r="J44" i="14"/>
  <c r="T44"/>
  <c r="M42" i="13"/>
  <c r="N42"/>
  <c r="O42"/>
  <c r="C43" i="14"/>
  <c r="AA42" i="13"/>
  <c r="AB42"/>
  <c r="AC42"/>
  <c r="D43" i="14"/>
  <c r="AP42" i="13"/>
  <c r="AO42"/>
  <c r="AQ42"/>
  <c r="E43" i="14"/>
  <c r="BC42" i="13"/>
  <c r="BD42"/>
  <c r="BE42"/>
  <c r="F43" i="14"/>
  <c r="BR42" i="13"/>
  <c r="BQ42"/>
  <c r="BS42"/>
  <c r="G43" i="14"/>
  <c r="CE42" i="13"/>
  <c r="CF42"/>
  <c r="CG42"/>
  <c r="H43" i="14"/>
  <c r="CS42" i="13"/>
  <c r="CT42"/>
  <c r="CU42"/>
  <c r="I43" i="14"/>
  <c r="DG42" i="13"/>
  <c r="DH42"/>
  <c r="DI42"/>
  <c r="J43" i="14"/>
  <c r="T43"/>
  <c r="M41" i="13"/>
  <c r="N41"/>
  <c r="O41"/>
  <c r="C42" i="14"/>
  <c r="AA41" i="13"/>
  <c r="AB41"/>
  <c r="AC41"/>
  <c r="D42" i="14"/>
  <c r="AP41" i="13"/>
  <c r="AO41"/>
  <c r="AQ41"/>
  <c r="E42" i="14"/>
  <c r="BC41" i="13"/>
  <c r="BD41"/>
  <c r="BE41"/>
  <c r="F42" i="14"/>
  <c r="BR41" i="13"/>
  <c r="BQ41"/>
  <c r="BS41"/>
  <c r="G42" i="14"/>
  <c r="CE41" i="13"/>
  <c r="CF41"/>
  <c r="CG41"/>
  <c r="H42" i="14"/>
  <c r="CS41" i="13"/>
  <c r="CT41"/>
  <c r="CU41"/>
  <c r="I42" i="14"/>
  <c r="DG41" i="13"/>
  <c r="DH41"/>
  <c r="DI41"/>
  <c r="J42" i="14"/>
  <c r="T42"/>
  <c r="M40" i="13"/>
  <c r="N40"/>
  <c r="O40"/>
  <c r="C41" i="14"/>
  <c r="AA40" i="13"/>
  <c r="AB40"/>
  <c r="AC40"/>
  <c r="D41" i="14"/>
  <c r="AP40" i="13"/>
  <c r="AO40"/>
  <c r="AQ40"/>
  <c r="E41" i="14"/>
  <c r="BC40" i="13"/>
  <c r="BD40"/>
  <c r="BE40"/>
  <c r="F41" i="14"/>
  <c r="BR40" i="13"/>
  <c r="BQ40"/>
  <c r="BS40"/>
  <c r="G41" i="14"/>
  <c r="CE40" i="13"/>
  <c r="CF40"/>
  <c r="CG40"/>
  <c r="H41" i="14"/>
  <c r="CS40" i="13"/>
  <c r="CT40"/>
  <c r="CU40"/>
  <c r="I41" i="14"/>
  <c r="DG40" i="13"/>
  <c r="DH40"/>
  <c r="DI40"/>
  <c r="J41" i="14"/>
  <c r="T41"/>
  <c r="M39" i="13"/>
  <c r="N39"/>
  <c r="O39"/>
  <c r="C40" i="14"/>
  <c r="AA39" i="13"/>
  <c r="AB39"/>
  <c r="AC39"/>
  <c r="D40" i="14"/>
  <c r="AP39" i="13"/>
  <c r="AO39"/>
  <c r="AQ39"/>
  <c r="E40" i="14"/>
  <c r="BC39" i="13"/>
  <c r="BD39"/>
  <c r="BE39"/>
  <c r="F40" i="14"/>
  <c r="BR39" i="13"/>
  <c r="BQ39"/>
  <c r="BS39"/>
  <c r="G40" i="14"/>
  <c r="CE39" i="13"/>
  <c r="CF39"/>
  <c r="CG39"/>
  <c r="H40" i="14"/>
  <c r="CS39" i="13"/>
  <c r="CT39"/>
  <c r="CU39"/>
  <c r="I40" i="14"/>
  <c r="DG39" i="13"/>
  <c r="DH39"/>
  <c r="DI39"/>
  <c r="J40" i="14"/>
  <c r="T40"/>
  <c r="M38" i="13"/>
  <c r="N38"/>
  <c r="O38"/>
  <c r="C39" i="14"/>
  <c r="AA38" i="13"/>
  <c r="AB38"/>
  <c r="AC38"/>
  <c r="D39" i="14"/>
  <c r="AP38" i="13"/>
  <c r="AO38"/>
  <c r="AQ38"/>
  <c r="E39" i="14"/>
  <c r="BC38" i="13"/>
  <c r="BD38"/>
  <c r="BE38"/>
  <c r="F39" i="14"/>
  <c r="BR38" i="13"/>
  <c r="BQ38"/>
  <c r="BS38"/>
  <c r="G39" i="14"/>
  <c r="CE38" i="13"/>
  <c r="CF38"/>
  <c r="CG38"/>
  <c r="H39" i="14"/>
  <c r="CS38" i="13"/>
  <c r="CT38"/>
  <c r="CU38"/>
  <c r="I39" i="14"/>
  <c r="DG38" i="13"/>
  <c r="DH38"/>
  <c r="DI38"/>
  <c r="J39" i="14"/>
  <c r="T39"/>
  <c r="M37" i="13"/>
  <c r="N37"/>
  <c r="O37"/>
  <c r="C38" i="14"/>
  <c r="AA37" i="13"/>
  <c r="AB37"/>
  <c r="AC37"/>
  <c r="D38" i="14"/>
  <c r="AP37" i="13"/>
  <c r="AO37"/>
  <c r="AQ37"/>
  <c r="E38" i="14"/>
  <c r="BC37" i="13"/>
  <c r="BD37"/>
  <c r="BE37"/>
  <c r="F38" i="14"/>
  <c r="BR37" i="13"/>
  <c r="BQ37"/>
  <c r="BS37"/>
  <c r="G38" i="14"/>
  <c r="CE37" i="13"/>
  <c r="CF37"/>
  <c r="CG37"/>
  <c r="H38" i="14"/>
  <c r="CS37" i="13"/>
  <c r="CT37"/>
  <c r="CU37"/>
  <c r="I38" i="14"/>
  <c r="DG37" i="13"/>
  <c r="DH37"/>
  <c r="DI37"/>
  <c r="J38" i="14"/>
  <c r="T38"/>
  <c r="M36" i="13"/>
  <c r="N36"/>
  <c r="O36"/>
  <c r="C37" i="14"/>
  <c r="AA36" i="13"/>
  <c r="AB36"/>
  <c r="AC36"/>
  <c r="D37" i="14"/>
  <c r="AP36" i="13"/>
  <c r="AO36"/>
  <c r="AQ36"/>
  <c r="E37" i="14"/>
  <c r="BC36" i="13"/>
  <c r="BD36"/>
  <c r="BE36"/>
  <c r="F37" i="14"/>
  <c r="BR36" i="13"/>
  <c r="BQ36"/>
  <c r="BS36"/>
  <c r="G37" i="14"/>
  <c r="CE36" i="13"/>
  <c r="CF36"/>
  <c r="CG36"/>
  <c r="H37" i="14"/>
  <c r="CS36" i="13"/>
  <c r="CT36"/>
  <c r="CU36"/>
  <c r="I37" i="14"/>
  <c r="DG36" i="13"/>
  <c r="DH36"/>
  <c r="DI36"/>
  <c r="J37" i="14"/>
  <c r="T37"/>
  <c r="M35" i="13"/>
  <c r="N35"/>
  <c r="O35"/>
  <c r="C36" i="14"/>
  <c r="AA35" i="13"/>
  <c r="AB35"/>
  <c r="AC35"/>
  <c r="D36" i="14"/>
  <c r="AP35" i="13"/>
  <c r="AO35"/>
  <c r="AQ35"/>
  <c r="E36" i="14"/>
  <c r="BC35" i="13"/>
  <c r="BD35"/>
  <c r="BE35"/>
  <c r="F36" i="14"/>
  <c r="BR35" i="13"/>
  <c r="BQ35"/>
  <c r="BS35"/>
  <c r="G36" i="14"/>
  <c r="CE35" i="13"/>
  <c r="CF35"/>
  <c r="CG35"/>
  <c r="H36" i="14"/>
  <c r="CS35" i="13"/>
  <c r="CT35"/>
  <c r="CU35"/>
  <c r="I36" i="14"/>
  <c r="DG35" i="13"/>
  <c r="DH35"/>
  <c r="DI35"/>
  <c r="J36" i="14"/>
  <c r="T36"/>
  <c r="M34" i="13"/>
  <c r="N34"/>
  <c r="O34"/>
  <c r="C35" i="14"/>
  <c r="AA34" i="13"/>
  <c r="AB34"/>
  <c r="AC34"/>
  <c r="D35" i="14"/>
  <c r="AP34" i="13"/>
  <c r="AO34"/>
  <c r="AQ34"/>
  <c r="E35" i="14"/>
  <c r="BC34" i="13"/>
  <c r="BD34"/>
  <c r="BE34"/>
  <c r="F35" i="14"/>
  <c r="BR34" i="13"/>
  <c r="BQ34"/>
  <c r="BS34"/>
  <c r="G35" i="14"/>
  <c r="CE34" i="13"/>
  <c r="CF34"/>
  <c r="CG34"/>
  <c r="H35" i="14"/>
  <c r="CS34" i="13"/>
  <c r="CT34"/>
  <c r="CU34"/>
  <c r="I35" i="14"/>
  <c r="DG34" i="13"/>
  <c r="DH34"/>
  <c r="DI34"/>
  <c r="J35" i="14"/>
  <c r="T35"/>
  <c r="M33" i="13"/>
  <c r="N33"/>
  <c r="O33"/>
  <c r="C34" i="14"/>
  <c r="AA33" i="13"/>
  <c r="AB33"/>
  <c r="AC33"/>
  <c r="D34" i="14"/>
  <c r="AP33" i="13"/>
  <c r="AO33"/>
  <c r="AQ33"/>
  <c r="E34" i="14"/>
  <c r="BC33" i="13"/>
  <c r="BD33"/>
  <c r="BE33"/>
  <c r="F34" i="14"/>
  <c r="BR33" i="13"/>
  <c r="BQ33"/>
  <c r="BS33"/>
  <c r="G34" i="14"/>
  <c r="CE33" i="13"/>
  <c r="CF33"/>
  <c r="CG33"/>
  <c r="H34" i="14"/>
  <c r="CS33" i="13"/>
  <c r="CT33"/>
  <c r="CU33"/>
  <c r="I34" i="14"/>
  <c r="DG33" i="13"/>
  <c r="DH33"/>
  <c r="DI33"/>
  <c r="J34" i="14"/>
  <c r="T34"/>
  <c r="M32" i="13"/>
  <c r="N32"/>
  <c r="O32"/>
  <c r="C33" i="14"/>
  <c r="AA32" i="13"/>
  <c r="AB32"/>
  <c r="AC32"/>
  <c r="D33" i="14"/>
  <c r="AP32" i="13"/>
  <c r="AO32"/>
  <c r="AQ32"/>
  <c r="E33" i="14"/>
  <c r="BC32" i="13"/>
  <c r="BD32"/>
  <c r="BE32"/>
  <c r="F33" i="14"/>
  <c r="BR32" i="13"/>
  <c r="BQ32"/>
  <c r="BS32"/>
  <c r="G33" i="14"/>
  <c r="CE32" i="13"/>
  <c r="CF32"/>
  <c r="CG32"/>
  <c r="H33" i="14"/>
  <c r="CS32" i="13"/>
  <c r="CT32"/>
  <c r="CU32"/>
  <c r="I33" i="14"/>
  <c r="DG32" i="13"/>
  <c r="DH32"/>
  <c r="DI32"/>
  <c r="J33" i="14"/>
  <c r="T33"/>
  <c r="M31" i="13"/>
  <c r="N31"/>
  <c r="O31"/>
  <c r="C32" i="14"/>
  <c r="AA31" i="13"/>
  <c r="AB31"/>
  <c r="AC31"/>
  <c r="D32" i="14"/>
  <c r="AP31" i="13"/>
  <c r="AO31"/>
  <c r="AQ31"/>
  <c r="E32" i="14"/>
  <c r="BC31" i="13"/>
  <c r="BD31"/>
  <c r="BE31"/>
  <c r="F32" i="14"/>
  <c r="BR31" i="13"/>
  <c r="BQ31"/>
  <c r="BS31"/>
  <c r="G32" i="14"/>
  <c r="CE31" i="13"/>
  <c r="CF31"/>
  <c r="CG31"/>
  <c r="H32" i="14"/>
  <c r="CS31" i="13"/>
  <c r="CT31"/>
  <c r="CU31"/>
  <c r="I32" i="14"/>
  <c r="DG31" i="13"/>
  <c r="DH31"/>
  <c r="DI31"/>
  <c r="J32" i="14"/>
  <c r="T32"/>
  <c r="M30" i="13"/>
  <c r="N30"/>
  <c r="O30"/>
  <c r="C31" i="14"/>
  <c r="AA30" i="13"/>
  <c r="AB30"/>
  <c r="AC30"/>
  <c r="D31" i="14"/>
  <c r="AP30" i="13"/>
  <c r="AO30"/>
  <c r="AQ30"/>
  <c r="E31" i="14"/>
  <c r="BC30" i="13"/>
  <c r="BD30"/>
  <c r="BE30"/>
  <c r="F31" i="14"/>
  <c r="BR30" i="13"/>
  <c r="BQ30"/>
  <c r="BS30"/>
  <c r="G31" i="14"/>
  <c r="CE30" i="13"/>
  <c r="CF30"/>
  <c r="CG30"/>
  <c r="H31" i="14"/>
  <c r="CS30" i="13"/>
  <c r="CT30"/>
  <c r="CU30"/>
  <c r="I31" i="14"/>
  <c r="DG30" i="13"/>
  <c r="DH30"/>
  <c r="DI30"/>
  <c r="J31" i="14"/>
  <c r="T31"/>
  <c r="O141" i="19"/>
  <c r="J139"/>
  <c r="U62" i="15"/>
  <c r="O27" i="21"/>
  <c r="L20"/>
  <c r="K20"/>
  <c r="J20"/>
  <c r="I20"/>
  <c r="H20"/>
  <c r="G20"/>
  <c r="C62" i="15"/>
  <c r="E19" i="21"/>
  <c r="F20"/>
  <c r="O39"/>
  <c r="O38"/>
  <c r="O37"/>
  <c r="O36"/>
  <c r="O35"/>
  <c r="O34"/>
  <c r="O33"/>
  <c r="O32"/>
  <c r="O31"/>
  <c r="O30"/>
  <c r="O29"/>
  <c r="O28"/>
  <c r="L10"/>
  <c r="E63" i="13"/>
  <c r="E9" i="21"/>
  <c r="F10"/>
  <c r="G10"/>
  <c r="H10"/>
  <c r="I10"/>
  <c r="J10"/>
  <c r="K10"/>
  <c r="O26"/>
  <c r="N119" i="14"/>
  <c r="N118"/>
  <c r="N117"/>
  <c r="N116"/>
  <c r="N115"/>
  <c r="N114"/>
  <c r="N113"/>
  <c r="N112"/>
  <c r="N111"/>
  <c r="N110"/>
  <c r="N109"/>
  <c r="N108"/>
  <c r="T48" i="15"/>
  <c r="S48"/>
  <c r="R48"/>
  <c r="Q48"/>
  <c r="P48"/>
  <c r="T47"/>
  <c r="S47"/>
  <c r="R47"/>
  <c r="Q47"/>
  <c r="P47"/>
  <c r="T46"/>
  <c r="S46"/>
  <c r="R46"/>
  <c r="Q46"/>
  <c r="P46"/>
  <c r="T45"/>
  <c r="S45"/>
  <c r="R45"/>
  <c r="Q45"/>
  <c r="P45"/>
  <c r="T44"/>
  <c r="S44"/>
  <c r="R44"/>
  <c r="Q44"/>
  <c r="P44"/>
  <c r="T43"/>
  <c r="S43"/>
  <c r="R43"/>
  <c r="Q43"/>
  <c r="P43"/>
  <c r="T42"/>
  <c r="S42"/>
  <c r="R42"/>
  <c r="Q42"/>
  <c r="P42"/>
  <c r="T41"/>
  <c r="S41"/>
  <c r="R41"/>
  <c r="Q41"/>
  <c r="P41"/>
  <c r="T40"/>
  <c r="S40"/>
  <c r="R40"/>
  <c r="Q40"/>
  <c r="P40"/>
  <c r="T39"/>
  <c r="S39"/>
  <c r="R39"/>
  <c r="Q39"/>
  <c r="P39"/>
  <c r="T38"/>
  <c r="S38"/>
  <c r="R38"/>
  <c r="Q38"/>
  <c r="P38"/>
  <c r="T37"/>
  <c r="S37"/>
  <c r="R37"/>
  <c r="Q37"/>
  <c r="P37"/>
  <c r="T36"/>
  <c r="S36"/>
  <c r="R36"/>
  <c r="Q36"/>
  <c r="P36"/>
  <c r="T35"/>
  <c r="S35"/>
  <c r="R35"/>
  <c r="Q35"/>
  <c r="P35"/>
  <c r="T34"/>
  <c r="S34"/>
  <c r="R34"/>
  <c r="Q34"/>
  <c r="P34"/>
  <c r="T33"/>
  <c r="S33"/>
  <c r="R33"/>
  <c r="Q33"/>
  <c r="P33"/>
  <c r="T32"/>
  <c r="S32"/>
  <c r="R32"/>
  <c r="Q32"/>
  <c r="P32"/>
  <c r="T31"/>
  <c r="S31"/>
  <c r="R31"/>
  <c r="Q31"/>
  <c r="P31"/>
  <c r="S48" i="14"/>
  <c r="R48"/>
  <c r="Q48"/>
  <c r="P48"/>
  <c r="N48"/>
  <c r="O48"/>
  <c r="S47"/>
  <c r="R47"/>
  <c r="Q47"/>
  <c r="P47"/>
  <c r="N47"/>
  <c r="O47"/>
  <c r="S46"/>
  <c r="R46"/>
  <c r="Q46"/>
  <c r="P46"/>
  <c r="N46"/>
  <c r="O46"/>
  <c r="S45"/>
  <c r="R45"/>
  <c r="Q45"/>
  <c r="P45"/>
  <c r="N45"/>
  <c r="O45"/>
  <c r="S44"/>
  <c r="R44"/>
  <c r="Q44"/>
  <c r="P44"/>
  <c r="N44"/>
  <c r="O44"/>
  <c r="S43"/>
  <c r="R43"/>
  <c r="Q43"/>
  <c r="P43"/>
  <c r="N43"/>
  <c r="O43"/>
  <c r="S42"/>
  <c r="R42"/>
  <c r="Q42"/>
  <c r="P42"/>
  <c r="N42"/>
  <c r="O42"/>
  <c r="S41"/>
  <c r="R41"/>
  <c r="Q41"/>
  <c r="P41"/>
  <c r="N41"/>
  <c r="O41"/>
  <c r="S40"/>
  <c r="R40"/>
  <c r="Q40"/>
  <c r="P40"/>
  <c r="N40"/>
  <c r="O40"/>
  <c r="S39"/>
  <c r="R39"/>
  <c r="Q39"/>
  <c r="P39"/>
  <c r="N39"/>
  <c r="O39"/>
  <c r="S38"/>
  <c r="R38"/>
  <c r="Q38"/>
  <c r="P38"/>
  <c r="N38"/>
  <c r="O38"/>
  <c r="S37"/>
  <c r="R37"/>
  <c r="Q37"/>
  <c r="P37"/>
  <c r="N37"/>
  <c r="O37"/>
  <c r="S36"/>
  <c r="R36"/>
  <c r="Q36"/>
  <c r="P36"/>
  <c r="N36"/>
  <c r="O36"/>
  <c r="S35"/>
  <c r="R35"/>
  <c r="Q35"/>
  <c r="P35"/>
  <c r="N35"/>
  <c r="O35"/>
  <c r="S34"/>
  <c r="R34"/>
  <c r="Q34"/>
  <c r="P34"/>
  <c r="N34"/>
  <c r="O34"/>
  <c r="S33"/>
  <c r="R33"/>
  <c r="Q33"/>
  <c r="P33"/>
  <c r="N33"/>
  <c r="O33"/>
  <c r="S32"/>
  <c r="R32"/>
  <c r="Q32"/>
  <c r="P32"/>
  <c r="N32"/>
  <c r="O32"/>
  <c r="S31"/>
  <c r="R31"/>
  <c r="Q31"/>
  <c r="P31"/>
  <c r="N31"/>
  <c r="O31"/>
  <c r="R107"/>
  <c r="R106"/>
  <c r="R105"/>
  <c r="R104"/>
  <c r="R103"/>
  <c r="R102"/>
  <c r="R101"/>
  <c r="R100"/>
  <c r="R99"/>
  <c r="R98"/>
  <c r="R97"/>
  <c r="R96"/>
  <c r="R95"/>
  <c r="R94"/>
  <c r="R93"/>
  <c r="R92"/>
  <c r="R91"/>
  <c r="R90"/>
  <c r="Q107"/>
  <c r="Q106"/>
  <c r="Q105"/>
  <c r="Q104"/>
  <c r="Q103"/>
  <c r="Q102"/>
  <c r="Q101"/>
  <c r="Q100"/>
  <c r="Q99"/>
  <c r="Q98"/>
  <c r="Q97"/>
  <c r="Q96"/>
  <c r="Q95"/>
  <c r="Q94"/>
  <c r="Q93"/>
  <c r="Q92"/>
  <c r="Q91"/>
  <c r="Q90"/>
  <c r="P107"/>
  <c r="P106"/>
  <c r="P105"/>
  <c r="P104"/>
  <c r="P103"/>
  <c r="P102"/>
  <c r="P101"/>
  <c r="P100"/>
  <c r="P99"/>
  <c r="P98"/>
  <c r="P97"/>
  <c r="P96"/>
  <c r="P95"/>
  <c r="P94"/>
  <c r="P93"/>
  <c r="P92"/>
  <c r="P91"/>
  <c r="P90"/>
  <c r="N107"/>
  <c r="N106"/>
  <c r="N105"/>
  <c r="N104"/>
  <c r="N103"/>
  <c r="N102"/>
  <c r="N101"/>
  <c r="N100"/>
  <c r="N99"/>
  <c r="N98"/>
  <c r="N97"/>
  <c r="N96"/>
  <c r="N95"/>
  <c r="N94"/>
  <c r="N93"/>
  <c r="N92"/>
  <c r="N91"/>
  <c r="N90"/>
  <c r="O107"/>
  <c r="O106"/>
  <c r="O105"/>
  <c r="O104"/>
  <c r="O103"/>
  <c r="O102"/>
  <c r="O101"/>
  <c r="O100"/>
  <c r="O99"/>
  <c r="O98"/>
  <c r="O97"/>
  <c r="O96"/>
  <c r="O95"/>
  <c r="O94"/>
  <c r="O93"/>
  <c r="O92"/>
  <c r="O91"/>
  <c r="O90"/>
  <c r="CL63" i="13"/>
  <c r="K12" i="21"/>
  <c r="CM63" i="13"/>
  <c r="K13" i="21"/>
  <c r="K15"/>
  <c r="BX63" i="13"/>
  <c r="J12" i="21"/>
  <c r="BY63" i="13"/>
  <c r="J13" i="21"/>
  <c r="J15"/>
  <c r="BJ63" i="13"/>
  <c r="I12" i="21"/>
  <c r="BK63" i="13"/>
  <c r="I13" i="21"/>
  <c r="I15"/>
  <c r="AV63" i="13"/>
  <c r="H12" i="21"/>
  <c r="AW63" i="13"/>
  <c r="H13" i="21"/>
  <c r="H15"/>
  <c r="AH63" i="13"/>
  <c r="G12" i="21"/>
  <c r="AI63" i="13"/>
  <c r="G13" i="21"/>
  <c r="G15"/>
  <c r="F63" i="13"/>
  <c r="E12" i="21"/>
  <c r="G63" i="13"/>
  <c r="E13" i="21"/>
  <c r="E15"/>
  <c r="T63" i="13"/>
  <c r="F12" i="21"/>
  <c r="U63" i="13"/>
  <c r="F13" i="21"/>
  <c r="F15"/>
  <c r="L16"/>
  <c r="K16"/>
  <c r="J16"/>
  <c r="I16"/>
  <c r="H16"/>
  <c r="G16"/>
  <c r="F16"/>
  <c r="CM65" i="13"/>
  <c r="K17" i="21"/>
  <c r="BY65" i="13"/>
  <c r="J17" i="21"/>
  <c r="BK65" i="13"/>
  <c r="I17" i="21"/>
  <c r="AW65" i="13"/>
  <c r="H17" i="21"/>
  <c r="AI65" i="13"/>
  <c r="G17" i="21"/>
  <c r="U65" i="13"/>
  <c r="F17" i="21"/>
  <c r="E7"/>
  <c r="G65" i="13"/>
  <c r="E17" i="21"/>
  <c r="A4"/>
  <c r="A2"/>
  <c r="A1"/>
  <c r="X4" i="18"/>
  <c r="K23"/>
  <c r="K25"/>
  <c r="K17"/>
  <c r="J17"/>
  <c r="K18"/>
  <c r="C17" i="16"/>
  <c r="E17"/>
  <c r="G17"/>
  <c r="C18"/>
  <c r="E18"/>
  <c r="G18"/>
  <c r="C19"/>
  <c r="E19"/>
  <c r="G19"/>
  <c r="C20"/>
  <c r="E20"/>
  <c r="G20"/>
  <c r="C21"/>
  <c r="E21"/>
  <c r="G21"/>
  <c r="C22"/>
  <c r="E22"/>
  <c r="G22"/>
  <c r="C23"/>
  <c r="E23"/>
  <c r="G23"/>
  <c r="C24"/>
  <c r="E24"/>
  <c r="G24"/>
  <c r="C25"/>
  <c r="E25"/>
  <c r="G25"/>
  <c r="C26"/>
  <c r="E26"/>
  <c r="G26"/>
  <c r="C27"/>
  <c r="E27"/>
  <c r="G27"/>
  <c r="C28"/>
  <c r="E28"/>
  <c r="G28"/>
  <c r="C29"/>
  <c r="E29"/>
  <c r="G29"/>
  <c r="C30"/>
  <c r="E30"/>
  <c r="G30"/>
  <c r="C31"/>
  <c r="E31"/>
  <c r="G31"/>
  <c r="C32"/>
  <c r="E32"/>
  <c r="G32"/>
  <c r="C33"/>
  <c r="E33"/>
  <c r="G33"/>
  <c r="C34"/>
  <c r="E34"/>
  <c r="G34"/>
  <c r="C35"/>
  <c r="E35"/>
  <c r="G35"/>
  <c r="C36"/>
  <c r="E36"/>
  <c r="G36"/>
  <c r="C37"/>
  <c r="E37"/>
  <c r="G37"/>
  <c r="C38"/>
  <c r="E38"/>
  <c r="G38"/>
  <c r="C39"/>
  <c r="E39"/>
  <c r="G39"/>
  <c r="C40"/>
  <c r="E40"/>
  <c r="G40"/>
  <c r="C41"/>
  <c r="E41"/>
  <c r="G41"/>
  <c r="C42"/>
  <c r="E42"/>
  <c r="G42"/>
  <c r="C43"/>
  <c r="E43"/>
  <c r="G43"/>
  <c r="C44"/>
  <c r="E44"/>
  <c r="G44"/>
  <c r="C45"/>
  <c r="E45"/>
  <c r="G45"/>
  <c r="C46"/>
  <c r="E46"/>
  <c r="G46"/>
  <c r="C47"/>
  <c r="E47"/>
  <c r="G47"/>
  <c r="C48"/>
  <c r="E48"/>
  <c r="G48"/>
  <c r="C49"/>
  <c r="E49"/>
  <c r="G49"/>
  <c r="C50"/>
  <c r="E50"/>
  <c r="G50"/>
  <c r="C51"/>
  <c r="E51"/>
  <c r="G51"/>
  <c r="C52"/>
  <c r="E52"/>
  <c r="G52"/>
  <c r="C53"/>
  <c r="E53"/>
  <c r="G53"/>
  <c r="C54"/>
  <c r="E54"/>
  <c r="G54"/>
  <c r="C55"/>
  <c r="E55"/>
  <c r="G55"/>
  <c r="C56"/>
  <c r="E56"/>
  <c r="G56"/>
  <c r="C57"/>
  <c r="S49" i="14"/>
  <c r="N49"/>
  <c r="E57" i="16"/>
  <c r="G57"/>
  <c r="C58"/>
  <c r="S50" i="14"/>
  <c r="N50"/>
  <c r="E58" i="16"/>
  <c r="G58"/>
  <c r="C59"/>
  <c r="S51" i="14"/>
  <c r="N51"/>
  <c r="E59" i="16"/>
  <c r="G59"/>
  <c r="C60"/>
  <c r="S52" i="14"/>
  <c r="N52"/>
  <c r="E60" i="16"/>
  <c r="G60"/>
  <c r="C61"/>
  <c r="S53" i="14"/>
  <c r="N53"/>
  <c r="E61" i="16"/>
  <c r="G61"/>
  <c r="C62"/>
  <c r="S54" i="14"/>
  <c r="N54"/>
  <c r="E62" i="16"/>
  <c r="G62"/>
  <c r="C63"/>
  <c r="S55" i="14"/>
  <c r="N55"/>
  <c r="E63" i="16"/>
  <c r="G63"/>
  <c r="C64"/>
  <c r="S56" i="14"/>
  <c r="N56"/>
  <c r="E64" i="16"/>
  <c r="G64"/>
  <c r="C65"/>
  <c r="S57" i="14"/>
  <c r="N57"/>
  <c r="E65" i="16"/>
  <c r="G65"/>
  <c r="C66"/>
  <c r="S58" i="14"/>
  <c r="N58"/>
  <c r="E66" i="16"/>
  <c r="G66"/>
  <c r="C67"/>
  <c r="S59" i="14"/>
  <c r="N59"/>
  <c r="E67" i="16"/>
  <c r="G67"/>
  <c r="C68"/>
  <c r="S60" i="14"/>
  <c r="N60"/>
  <c r="E68" i="16"/>
  <c r="G68"/>
  <c r="C86"/>
  <c r="E86"/>
  <c r="G86"/>
  <c r="C87"/>
  <c r="E87"/>
  <c r="G87"/>
  <c r="C88"/>
  <c r="E88"/>
  <c r="G88"/>
  <c r="C89"/>
  <c r="E89"/>
  <c r="G89"/>
  <c r="C90"/>
  <c r="E90"/>
  <c r="G90"/>
  <c r="C91"/>
  <c r="E91"/>
  <c r="G91"/>
  <c r="C92"/>
  <c r="E92"/>
  <c r="G92"/>
  <c r="C93"/>
  <c r="E93"/>
  <c r="G93"/>
  <c r="C94"/>
  <c r="E94"/>
  <c r="G94"/>
  <c r="C95"/>
  <c r="E95"/>
  <c r="G95"/>
  <c r="C96"/>
  <c r="E96"/>
  <c r="G96"/>
  <c r="C97"/>
  <c r="E97"/>
  <c r="G97"/>
  <c r="C98"/>
  <c r="E98"/>
  <c r="G98"/>
  <c r="C99"/>
  <c r="E99"/>
  <c r="G99"/>
  <c r="C100"/>
  <c r="E100"/>
  <c r="G100"/>
  <c r="C101"/>
  <c r="E101"/>
  <c r="G101"/>
  <c r="C102"/>
  <c r="E102"/>
  <c r="G102"/>
  <c r="C103"/>
  <c r="E103"/>
  <c r="G103"/>
  <c r="C104"/>
  <c r="E104"/>
  <c r="G104"/>
  <c r="C105"/>
  <c r="E105"/>
  <c r="G105"/>
  <c r="C106"/>
  <c r="E106"/>
  <c r="G106"/>
  <c r="C107"/>
  <c r="E107"/>
  <c r="G107"/>
  <c r="C108"/>
  <c r="E108"/>
  <c r="G108"/>
  <c r="C109"/>
  <c r="E109"/>
  <c r="G109"/>
  <c r="C110"/>
  <c r="E110"/>
  <c r="G110"/>
  <c r="C111"/>
  <c r="E111"/>
  <c r="G111"/>
  <c r="C112"/>
  <c r="E112"/>
  <c r="G112"/>
  <c r="C113"/>
  <c r="E113"/>
  <c r="G113"/>
  <c r="C114"/>
  <c r="E114"/>
  <c r="G114"/>
  <c r="C115"/>
  <c r="E115"/>
  <c r="G115"/>
  <c r="C116"/>
  <c r="E116"/>
  <c r="G116"/>
  <c r="C117"/>
  <c r="E117"/>
  <c r="G117"/>
  <c r="C118"/>
  <c r="E118"/>
  <c r="G118"/>
  <c r="C119"/>
  <c r="E119"/>
  <c r="G119"/>
  <c r="C120"/>
  <c r="E120"/>
  <c r="G120"/>
  <c r="C121"/>
  <c r="E121"/>
  <c r="G121"/>
  <c r="C122"/>
  <c r="E122"/>
  <c r="G122"/>
  <c r="C123"/>
  <c r="E123"/>
  <c r="G123"/>
  <c r="C124"/>
  <c r="E124"/>
  <c r="G124"/>
  <c r="C125"/>
  <c r="E125"/>
  <c r="G125"/>
  <c r="C126"/>
  <c r="E126"/>
  <c r="G126"/>
  <c r="C127"/>
  <c r="E127"/>
  <c r="G127"/>
  <c r="C128"/>
  <c r="E128"/>
  <c r="G128"/>
  <c r="C129"/>
  <c r="E129"/>
  <c r="G129"/>
  <c r="C130"/>
  <c r="E130"/>
  <c r="G130"/>
  <c r="C131"/>
  <c r="E131"/>
  <c r="G131"/>
  <c r="C132"/>
  <c r="E132"/>
  <c r="G132"/>
  <c r="C133"/>
  <c r="E133"/>
  <c r="G133"/>
  <c r="C134"/>
  <c r="E134"/>
  <c r="G134"/>
  <c r="C135"/>
  <c r="E135"/>
  <c r="G135"/>
  <c r="C136"/>
  <c r="E136"/>
  <c r="G136"/>
  <c r="C137"/>
  <c r="E137"/>
  <c r="G137"/>
  <c r="E17" i="19"/>
  <c r="G17"/>
  <c r="C18"/>
  <c r="E18"/>
  <c r="G18"/>
  <c r="C19"/>
  <c r="E19"/>
  <c r="G19"/>
  <c r="C20"/>
  <c r="E20"/>
  <c r="G20"/>
  <c r="C21"/>
  <c r="E21"/>
  <c r="G21"/>
  <c r="C22"/>
  <c r="E22"/>
  <c r="G22"/>
  <c r="C23"/>
  <c r="E23"/>
  <c r="G23"/>
  <c r="C24"/>
  <c r="E24"/>
  <c r="G24"/>
  <c r="C25"/>
  <c r="E25"/>
  <c r="G25"/>
  <c r="C26"/>
  <c r="E26"/>
  <c r="G26"/>
  <c r="C27"/>
  <c r="E27"/>
  <c r="G27"/>
  <c r="C28"/>
  <c r="E28"/>
  <c r="G28"/>
  <c r="C29"/>
  <c r="E29"/>
  <c r="G29"/>
  <c r="C30"/>
  <c r="E30"/>
  <c r="G30"/>
  <c r="C31"/>
  <c r="E31"/>
  <c r="G31"/>
  <c r="C32"/>
  <c r="E32"/>
  <c r="G32"/>
  <c r="C33"/>
  <c r="E33"/>
  <c r="G33"/>
  <c r="C34"/>
  <c r="E34"/>
  <c r="G34"/>
  <c r="C35"/>
  <c r="E35"/>
  <c r="G35"/>
  <c r="C36"/>
  <c r="E36"/>
  <c r="G36"/>
  <c r="C37"/>
  <c r="E37"/>
  <c r="G37"/>
  <c r="C38"/>
  <c r="E38"/>
  <c r="G38"/>
  <c r="C39"/>
  <c r="E39"/>
  <c r="G39"/>
  <c r="C40"/>
  <c r="E40"/>
  <c r="G40"/>
  <c r="C41"/>
  <c r="E41"/>
  <c r="G41"/>
  <c r="C42"/>
  <c r="E42"/>
  <c r="G42"/>
  <c r="C43"/>
  <c r="E43"/>
  <c r="G43"/>
  <c r="C44"/>
  <c r="E44"/>
  <c r="G44"/>
  <c r="C45"/>
  <c r="E45"/>
  <c r="G45"/>
  <c r="C46"/>
  <c r="E46"/>
  <c r="G46"/>
  <c r="C47"/>
  <c r="E47"/>
  <c r="G47"/>
  <c r="C48"/>
  <c r="E48"/>
  <c r="G48"/>
  <c r="C49"/>
  <c r="E49"/>
  <c r="G49"/>
  <c r="C50"/>
  <c r="E50"/>
  <c r="G50"/>
  <c r="C51"/>
  <c r="E51"/>
  <c r="G51"/>
  <c r="C52"/>
  <c r="E52"/>
  <c r="G52"/>
  <c r="C53"/>
  <c r="E53"/>
  <c r="G53"/>
  <c r="C54"/>
  <c r="E54"/>
  <c r="G54"/>
  <c r="C55"/>
  <c r="E55"/>
  <c r="G55"/>
  <c r="C56"/>
  <c r="E56"/>
  <c r="G56"/>
  <c r="C57"/>
  <c r="E57"/>
  <c r="G57"/>
  <c r="C58"/>
  <c r="E58"/>
  <c r="G58"/>
  <c r="C59"/>
  <c r="E59"/>
  <c r="G59"/>
  <c r="C60"/>
  <c r="E60"/>
  <c r="G60"/>
  <c r="C61"/>
  <c r="E61"/>
  <c r="G61"/>
  <c r="C62"/>
  <c r="E62"/>
  <c r="G62"/>
  <c r="C63"/>
  <c r="E63"/>
  <c r="G63"/>
  <c r="C64"/>
  <c r="E64"/>
  <c r="G64"/>
  <c r="C65"/>
  <c r="E65"/>
  <c r="G65"/>
  <c r="C66"/>
  <c r="E66"/>
  <c r="G66"/>
  <c r="C67"/>
  <c r="E67"/>
  <c r="G67"/>
  <c r="C68"/>
  <c r="E68"/>
  <c r="G68"/>
  <c r="C70"/>
  <c r="G70"/>
  <c r="C139"/>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O72"/>
  <c r="DF59" i="13"/>
  <c r="U137" i="19"/>
  <c r="DF58" i="13"/>
  <c r="U136" i="19"/>
  <c r="DF57" i="13"/>
  <c r="U135" i="19"/>
  <c r="DF56" i="13"/>
  <c r="U134" i="19"/>
  <c r="DF55" i="13"/>
  <c r="U133" i="19"/>
  <c r="DF54" i="13"/>
  <c r="U132" i="19"/>
  <c r="DF53" i="13"/>
  <c r="U131" i="19"/>
  <c r="DF52" i="13"/>
  <c r="U130" i="19"/>
  <c r="DF51" i="13"/>
  <c r="U129" i="19"/>
  <c r="DF50" i="13"/>
  <c r="U128" i="19"/>
  <c r="DF49" i="13"/>
  <c r="U127" i="19"/>
  <c r="DF48" i="13"/>
  <c r="U126" i="19"/>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DG59" i="13"/>
  <c r="DH59"/>
  <c r="DI59"/>
  <c r="U68" i="19"/>
  <c r="DG58" i="13"/>
  <c r="DH58"/>
  <c r="DI58"/>
  <c r="U67" i="19"/>
  <c r="DG57" i="13"/>
  <c r="DH57"/>
  <c r="DI57"/>
  <c r="U66" i="19"/>
  <c r="DG56" i="13"/>
  <c r="DH56"/>
  <c r="DI56"/>
  <c r="U65" i="19"/>
  <c r="DG55" i="13"/>
  <c r="DH55"/>
  <c r="DI55"/>
  <c r="U64" i="19"/>
  <c r="DG54" i="13"/>
  <c r="DH54"/>
  <c r="DI54"/>
  <c r="U63" i="19"/>
  <c r="DG53" i="13"/>
  <c r="DH53"/>
  <c r="DI53"/>
  <c r="U62" i="19"/>
  <c r="DG52" i="13"/>
  <c r="DH52"/>
  <c r="DI52"/>
  <c r="U61" i="19"/>
  <c r="DG51" i="13"/>
  <c r="DH51"/>
  <c r="DI51"/>
  <c r="U60" i="19"/>
  <c r="DG50" i="13"/>
  <c r="DH50"/>
  <c r="DI50"/>
  <c r="U59" i="19"/>
  <c r="DG49" i="13"/>
  <c r="DH49"/>
  <c r="DI49"/>
  <c r="U58" i="19"/>
  <c r="DG48" i="13"/>
  <c r="DH48"/>
  <c r="DI48"/>
  <c r="U57" i="19"/>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I139"/>
  <c r="I70"/>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J70"/>
  <c r="J49" i="14"/>
  <c r="J50"/>
  <c r="J51"/>
  <c r="J52"/>
  <c r="J53"/>
  <c r="J54"/>
  <c r="J55"/>
  <c r="J56"/>
  <c r="J57"/>
  <c r="J58"/>
  <c r="J59"/>
  <c r="J60"/>
  <c r="J62"/>
  <c r="I62"/>
  <c r="O139" i="19"/>
  <c r="O145"/>
  <c r="O146"/>
  <c r="O148"/>
  <c r="P148"/>
  <c r="O143"/>
  <c r="P143"/>
  <c r="N139"/>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O70"/>
  <c r="O76"/>
  <c r="O77"/>
  <c r="O79"/>
  <c r="P79"/>
  <c r="O74"/>
  <c r="P74"/>
  <c r="N70"/>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J11"/>
  <c r="J8"/>
  <c r="A2"/>
  <c r="A1"/>
  <c r="CW9" i="13"/>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CW49"/>
  <c r="CW50"/>
  <c r="CW51"/>
  <c r="CW52"/>
  <c r="CW53"/>
  <c r="CW54"/>
  <c r="CW55"/>
  <c r="CW56"/>
  <c r="CW57"/>
  <c r="CW58"/>
  <c r="CW59"/>
  <c r="CW60"/>
  <c r="CW61"/>
  <c r="P27" i="18"/>
  <c r="P26"/>
  <c r="P25"/>
  <c r="P21"/>
  <c r="I23"/>
  <c r="Q9" i="13"/>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J23" i="18"/>
  <c r="AE9" i="13"/>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S9"/>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S49"/>
  <c r="AS50"/>
  <c r="AS51"/>
  <c r="AS52"/>
  <c r="AS53"/>
  <c r="AS54"/>
  <c r="AS55"/>
  <c r="AS56"/>
  <c r="AS57"/>
  <c r="AS58"/>
  <c r="AS59"/>
  <c r="L23" i="18"/>
  <c r="BG9" i="13"/>
  <c r="BG10"/>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G49"/>
  <c r="BG50"/>
  <c r="BG51"/>
  <c r="BG52"/>
  <c r="BG53"/>
  <c r="BG54"/>
  <c r="BG55"/>
  <c r="BG56"/>
  <c r="BG57"/>
  <c r="BG58"/>
  <c r="BG59"/>
  <c r="M23" i="18"/>
  <c r="BU9" i="13"/>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BU49"/>
  <c r="BU50"/>
  <c r="BU51"/>
  <c r="BU52"/>
  <c r="BU53"/>
  <c r="BU54"/>
  <c r="BU55"/>
  <c r="BU56"/>
  <c r="BU57"/>
  <c r="BU58"/>
  <c r="BU59"/>
  <c r="N23" i="18"/>
  <c r="CI9" i="13"/>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I49"/>
  <c r="CI50"/>
  <c r="CI51"/>
  <c r="CI52"/>
  <c r="CI53"/>
  <c r="CI54"/>
  <c r="CI55"/>
  <c r="CI56"/>
  <c r="CI57"/>
  <c r="CI58"/>
  <c r="CI59"/>
  <c r="O23" i="18"/>
  <c r="O17"/>
  <c r="O11"/>
  <c r="P9"/>
  <c r="I8" i="16"/>
  <c r="C70"/>
  <c r="H17" i="18"/>
  <c r="H11"/>
  <c r="N17"/>
  <c r="M17"/>
  <c r="L17"/>
  <c r="AF9" i="13"/>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I17" i="18"/>
  <c r="N11"/>
  <c r="L11"/>
  <c r="M11"/>
  <c r="K11"/>
  <c r="J11"/>
  <c r="I11"/>
  <c r="DF60" i="13"/>
  <c r="DG60"/>
  <c r="DH60"/>
  <c r="DI60"/>
  <c r="I12" i="18"/>
  <c r="J12"/>
  <c r="K12"/>
  <c r="L12"/>
  <c r="M12"/>
  <c r="N12"/>
  <c r="O12"/>
  <c r="H21"/>
  <c r="DC63" i="13"/>
  <c r="CO63"/>
  <c r="CA63"/>
  <c r="BM63"/>
  <c r="AY63"/>
  <c r="AK63"/>
  <c r="W63"/>
  <c r="I63"/>
  <c r="A2" i="15"/>
  <c r="AT9" i="13"/>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T49"/>
  <c r="AT50"/>
  <c r="AT51"/>
  <c r="AT52"/>
  <c r="AT53"/>
  <c r="AT54"/>
  <c r="AT55"/>
  <c r="AT56"/>
  <c r="AT57"/>
  <c r="AT58"/>
  <c r="AT59"/>
  <c r="T49" i="15"/>
  <c r="T50"/>
  <c r="T51"/>
  <c r="T52"/>
  <c r="T53"/>
  <c r="T54"/>
  <c r="T55"/>
  <c r="T56"/>
  <c r="T57"/>
  <c r="T58"/>
  <c r="T59"/>
  <c r="T60"/>
  <c r="A4" i="16"/>
  <c r="J108" i="14"/>
  <c r="J109"/>
  <c r="J110"/>
  <c r="J111"/>
  <c r="J112"/>
  <c r="J113"/>
  <c r="J114"/>
  <c r="J115"/>
  <c r="J116"/>
  <c r="J117"/>
  <c r="J118"/>
  <c r="J119"/>
  <c r="J121"/>
  <c r="DD61" i="13"/>
  <c r="CX9"/>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CX49"/>
  <c r="CX50"/>
  <c r="CX51"/>
  <c r="CX52"/>
  <c r="CX53"/>
  <c r="CX54"/>
  <c r="CX55"/>
  <c r="CX56"/>
  <c r="CX57"/>
  <c r="CX58"/>
  <c r="CX59"/>
  <c r="CX60"/>
  <c r="DD60"/>
  <c r="DD59"/>
  <c r="DD58"/>
  <c r="DD57"/>
  <c r="DD56"/>
  <c r="DD55"/>
  <c r="DD54"/>
  <c r="DD53"/>
  <c r="DD52"/>
  <c r="DD51"/>
  <c r="DD50"/>
  <c r="DD49"/>
  <c r="DD48"/>
  <c r="DD47"/>
  <c r="DD46"/>
  <c r="DD45"/>
  <c r="DD44"/>
  <c r="DD43"/>
  <c r="DD42"/>
  <c r="DD41"/>
  <c r="DD40"/>
  <c r="DD39"/>
  <c r="DD38"/>
  <c r="DD37"/>
  <c r="DD36"/>
  <c r="DD35"/>
  <c r="DD34"/>
  <c r="DD33"/>
  <c r="DD32"/>
  <c r="DD31"/>
  <c r="DD30"/>
  <c r="DD29"/>
  <c r="DD28"/>
  <c r="DD27"/>
  <c r="DD26"/>
  <c r="DD25"/>
  <c r="DD24"/>
  <c r="DD23"/>
  <c r="DD22"/>
  <c r="DD21"/>
  <c r="DD20"/>
  <c r="DD19"/>
  <c r="DD18"/>
  <c r="DD17"/>
  <c r="DD16"/>
  <c r="DD15"/>
  <c r="DD14"/>
  <c r="DD13"/>
  <c r="DD12"/>
  <c r="DD11"/>
  <c r="DD10"/>
  <c r="DD9"/>
  <c r="DD8"/>
  <c r="O111" i="14"/>
  <c r="P111"/>
  <c r="Q111"/>
  <c r="R111"/>
  <c r="O112"/>
  <c r="P112"/>
  <c r="Q112"/>
  <c r="R112"/>
  <c r="O113"/>
  <c r="P113"/>
  <c r="Q113"/>
  <c r="R113"/>
  <c r="O114"/>
  <c r="P114"/>
  <c r="Q114"/>
  <c r="R114"/>
  <c r="O115"/>
  <c r="P115"/>
  <c r="Q115"/>
  <c r="R115"/>
  <c r="O116"/>
  <c r="P116"/>
  <c r="Q116"/>
  <c r="R116"/>
  <c r="O117"/>
  <c r="P117"/>
  <c r="Q117"/>
  <c r="R117"/>
  <c r="O118"/>
  <c r="P118"/>
  <c r="Q118"/>
  <c r="R118"/>
  <c r="O119"/>
  <c r="P119"/>
  <c r="Q119"/>
  <c r="R119"/>
  <c r="O52"/>
  <c r="P52"/>
  <c r="Q52"/>
  <c r="R52"/>
  <c r="O53"/>
  <c r="P53"/>
  <c r="Q53"/>
  <c r="R53"/>
  <c r="O54"/>
  <c r="P54"/>
  <c r="Q54"/>
  <c r="R54"/>
  <c r="O55"/>
  <c r="P55"/>
  <c r="Q55"/>
  <c r="R55"/>
  <c r="O56"/>
  <c r="P56"/>
  <c r="Q56"/>
  <c r="R56"/>
  <c r="O57"/>
  <c r="P57"/>
  <c r="Q57"/>
  <c r="R57"/>
  <c r="O58"/>
  <c r="P58"/>
  <c r="Q58"/>
  <c r="R58"/>
  <c r="O59"/>
  <c r="P59"/>
  <c r="Q59"/>
  <c r="R59"/>
  <c r="O60"/>
  <c r="P60"/>
  <c r="Q60"/>
  <c r="R60"/>
  <c r="S60" i="15"/>
  <c r="R60"/>
  <c r="Q60"/>
  <c r="P60"/>
  <c r="S59"/>
  <c r="R59"/>
  <c r="Q59"/>
  <c r="P59"/>
  <c r="S58"/>
  <c r="R58"/>
  <c r="Q58"/>
  <c r="P58"/>
  <c r="S57"/>
  <c r="R57"/>
  <c r="Q57"/>
  <c r="P57"/>
  <c r="S56"/>
  <c r="R56"/>
  <c r="Q56"/>
  <c r="P56"/>
  <c r="S55"/>
  <c r="R55"/>
  <c r="Q55"/>
  <c r="P55"/>
  <c r="S54"/>
  <c r="R54"/>
  <c r="Q54"/>
  <c r="P54"/>
  <c r="S53"/>
  <c r="R53"/>
  <c r="Q53"/>
  <c r="P53"/>
  <c r="S52"/>
  <c r="R52"/>
  <c r="Q52"/>
  <c r="P52"/>
  <c r="G139" i="16"/>
  <c r="T121" i="14"/>
  <c r="I11" i="16"/>
  <c r="T62" i="14"/>
  <c r="S121"/>
  <c r="R108"/>
  <c r="R109"/>
  <c r="R110"/>
  <c r="R121"/>
  <c r="Q108"/>
  <c r="Q109"/>
  <c r="Q110"/>
  <c r="Q121"/>
  <c r="P108"/>
  <c r="P109"/>
  <c r="P110"/>
  <c r="P121"/>
  <c r="N121"/>
  <c r="O108"/>
  <c r="O109"/>
  <c r="O110"/>
  <c r="O121"/>
  <c r="I121"/>
  <c r="H121"/>
  <c r="G121"/>
  <c r="F121"/>
  <c r="E121"/>
  <c r="D121"/>
  <c r="C121"/>
  <c r="S62"/>
  <c r="R49"/>
  <c r="R50"/>
  <c r="R51"/>
  <c r="R62"/>
  <c r="Q49"/>
  <c r="Q50"/>
  <c r="Q51"/>
  <c r="Q62"/>
  <c r="P49"/>
  <c r="P50"/>
  <c r="P51"/>
  <c r="P62"/>
  <c r="N62"/>
  <c r="O49"/>
  <c r="O50"/>
  <c r="O51"/>
  <c r="O62"/>
  <c r="H62"/>
  <c r="G62"/>
  <c r="F62"/>
  <c r="E62"/>
  <c r="D62"/>
  <c r="C62"/>
  <c r="G70" i="16"/>
  <c r="C139"/>
  <c r="O27" i="18"/>
  <c r="N27"/>
  <c r="M27"/>
  <c r="L27"/>
  <c r="K27"/>
  <c r="J27"/>
  <c r="O26"/>
  <c r="N26"/>
  <c r="M26"/>
  <c r="L26"/>
  <c r="K26"/>
  <c r="J26"/>
  <c r="O25"/>
  <c r="N25"/>
  <c r="M25"/>
  <c r="L25"/>
  <c r="J25"/>
  <c r="I27"/>
  <c r="I26"/>
  <c r="I25"/>
  <c r="O21"/>
  <c r="N21"/>
  <c r="M21"/>
  <c r="L21"/>
  <c r="K21"/>
  <c r="J21"/>
  <c r="I21"/>
  <c r="I18"/>
  <c r="J18"/>
  <c r="L18"/>
  <c r="M18"/>
  <c r="N18"/>
  <c r="O18"/>
  <c r="P18"/>
  <c r="P12"/>
  <c r="O6"/>
  <c r="N6"/>
  <c r="M6"/>
  <c r="L6"/>
  <c r="K6"/>
  <c r="J6"/>
  <c r="I6"/>
  <c r="H6"/>
  <c r="I9"/>
  <c r="J9"/>
  <c r="K9"/>
  <c r="L9"/>
  <c r="M9"/>
  <c r="N9"/>
  <c r="O9"/>
  <c r="A2" i="13"/>
  <c r="A1"/>
  <c r="A2" i="14"/>
  <c r="A1"/>
  <c r="A1" i="15"/>
  <c r="A2" i="16"/>
  <c r="T62" i="15"/>
  <c r="S50"/>
  <c r="S49"/>
  <c r="R49"/>
  <c r="Q49"/>
  <c r="B9"/>
  <c r="B68" i="14"/>
  <c r="B9"/>
  <c r="P51" i="15"/>
  <c r="Q51"/>
  <c r="R51"/>
  <c r="Q50"/>
  <c r="P50"/>
  <c r="R50"/>
  <c r="S51"/>
  <c r="P49"/>
  <c r="S62"/>
  <c r="CJ9" i="13"/>
  <c r="CJ10"/>
  <c r="BV9"/>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BV49"/>
  <c r="BV50"/>
  <c r="BV51"/>
  <c r="BV52"/>
  <c r="BV53"/>
  <c r="BV54"/>
  <c r="BV55"/>
  <c r="BV56"/>
  <c r="BV57"/>
  <c r="BV58"/>
  <c r="BV59"/>
  <c r="BH9"/>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BH49"/>
  <c r="BH50"/>
  <c r="BH51"/>
  <c r="BH52"/>
  <c r="BH53"/>
  <c r="BH54"/>
  <c r="BH55"/>
  <c r="BH56"/>
  <c r="BH57"/>
  <c r="BH58"/>
  <c r="BH59"/>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D9"/>
  <c r="B10" i="15"/>
  <c r="B10" i="14"/>
  <c r="B69"/>
  <c r="R62" i="15"/>
  <c r="Q62"/>
  <c r="O62"/>
  <c r="P62"/>
  <c r="CJ11" i="13"/>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J49"/>
  <c r="CJ50"/>
  <c r="CJ51"/>
  <c r="CJ52"/>
  <c r="CJ53"/>
  <c r="CJ54"/>
  <c r="CJ55"/>
  <c r="CJ56"/>
  <c r="CJ57"/>
  <c r="CJ58"/>
  <c r="CJ5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B11" i="15"/>
  <c r="B70" i="14"/>
  <c r="B11"/>
  <c r="B12" i="15"/>
  <c r="B71" i="14"/>
  <c r="B12"/>
  <c r="B13" i="15"/>
  <c r="B72" i="14"/>
  <c r="B13"/>
  <c r="B14" i="15"/>
  <c r="B73" i="14"/>
  <c r="B14"/>
  <c r="B15" i="15"/>
  <c r="B74" i="14"/>
  <c r="B15"/>
  <c r="B16" i="15"/>
  <c r="B75" i="14"/>
  <c r="B16"/>
  <c r="B17" i="15"/>
  <c r="B76" i="14"/>
  <c r="B17"/>
  <c r="B18" i="15"/>
  <c r="B18" i="14"/>
  <c r="B77"/>
  <c r="B19" i="15"/>
  <c r="B78" i="14"/>
  <c r="B19"/>
  <c r="B20" i="15"/>
  <c r="B79" i="14"/>
  <c r="B20"/>
  <c r="B21" i="15"/>
  <c r="B80" i="14"/>
  <c r="B21"/>
  <c r="B22" i="15"/>
  <c r="B22" i="14"/>
  <c r="B81"/>
  <c r="B23" i="15"/>
  <c r="B82" i="14"/>
  <c r="B23"/>
  <c r="B24" i="15"/>
  <c r="B83" i="14"/>
  <c r="B24"/>
  <c r="B25" i="15"/>
  <c r="B84" i="14"/>
  <c r="B25"/>
  <c r="B26" i="15"/>
  <c r="B26" i="14"/>
  <c r="B85"/>
  <c r="B27" i="15"/>
  <c r="B86" i="14"/>
  <c r="B27"/>
  <c r="B28" i="15"/>
  <c r="B87" i="14"/>
  <c r="B28"/>
  <c r="B29" i="15"/>
  <c r="B88" i="14"/>
  <c r="B29"/>
  <c r="B30" i="15"/>
  <c r="B89" i="14"/>
  <c r="B30"/>
  <c r="B31" i="15"/>
  <c r="B90" i="14"/>
  <c r="B31"/>
  <c r="B91"/>
  <c r="B32" i="15"/>
  <c r="B32" i="14"/>
  <c r="B33" i="15"/>
  <c r="B92" i="14"/>
  <c r="B33"/>
  <c r="B34" i="15"/>
  <c r="B34" i="14"/>
  <c r="B93"/>
  <c r="B35" i="15"/>
  <c r="B94" i="14"/>
  <c r="B35"/>
  <c r="B36" i="15"/>
  <c r="B95" i="14"/>
  <c r="B36"/>
  <c r="B37" i="15"/>
  <c r="B96" i="14"/>
  <c r="B37"/>
  <c r="B38" i="15"/>
  <c r="B38" i="14"/>
  <c r="B97"/>
  <c r="B98"/>
  <c r="B39" i="15"/>
  <c r="B39" i="14"/>
  <c r="B40" i="15"/>
  <c r="B99" i="14"/>
  <c r="B40"/>
  <c r="B41" i="15"/>
  <c r="B100" i="14"/>
  <c r="B41"/>
  <c r="B42" i="15"/>
  <c r="B42" i="14"/>
  <c r="B101"/>
  <c r="B43" i="15"/>
  <c r="B102" i="14"/>
  <c r="B43"/>
  <c r="B44" i="15"/>
  <c r="B103" i="14"/>
  <c r="B44"/>
  <c r="B45" i="15"/>
  <c r="B104" i="14"/>
  <c r="B45"/>
  <c r="B46" i="15"/>
  <c r="B105" i="14"/>
  <c r="B46"/>
  <c r="B47" i="15"/>
  <c r="B106" i="14"/>
  <c r="B47"/>
  <c r="B48" i="15"/>
  <c r="B107" i="14"/>
  <c r="B48"/>
  <c r="B49" i="15"/>
  <c r="B108" i="14"/>
  <c r="B49"/>
  <c r="B50" i="15"/>
  <c r="B50" i="14"/>
  <c r="B109"/>
  <c r="B51" i="15"/>
  <c r="B110" i="14"/>
  <c r="B51"/>
  <c r="B52" i="15"/>
  <c r="B111" i="14"/>
  <c r="B52"/>
  <c r="B53" i="15"/>
  <c r="B112" i="14"/>
  <c r="B53"/>
  <c r="B54" i="15"/>
  <c r="B54" i="14"/>
  <c r="B113"/>
  <c r="B55" i="15"/>
  <c r="B114" i="14"/>
  <c r="B55"/>
  <c r="B56" i="15"/>
  <c r="B115" i="14"/>
  <c r="B56"/>
  <c r="B57" i="15"/>
  <c r="B116" i="14"/>
  <c r="B57"/>
  <c r="B58" i="15"/>
  <c r="B58" i="14"/>
  <c r="B117"/>
  <c r="B59" i="15"/>
  <c r="B118" i="14"/>
  <c r="B59"/>
  <c r="B60" i="15"/>
  <c r="B119" i="14"/>
  <c r="B60"/>
  <c r="A4" i="15"/>
  <c r="A4" i="14"/>
  <c r="A4" i="13"/>
</calcChain>
</file>

<file path=xl/comments1.xml><?xml version="1.0" encoding="utf-8"?>
<comments xmlns="http://schemas.openxmlformats.org/spreadsheetml/2006/main">
  <authors>
    <author>Jeff Beaumont</author>
  </authors>
  <commentList>
    <comment ref="I15" authorId="0">
      <text>
        <r>
          <rPr>
            <b/>
            <sz val="8"/>
            <color indexed="81"/>
            <rFont val="Tahoma"/>
            <family val="2"/>
          </rPr>
          <t>Jeff Beaumont:</t>
        </r>
        <r>
          <rPr>
            <sz val="8"/>
            <color indexed="81"/>
            <rFont val="Tahoma"/>
            <family val="2"/>
          </rPr>
          <t xml:space="preserve">
These numbers should be hard-coded at the time that the church agrees on the budget.
</t>
        </r>
      </text>
    </comment>
  </commentList>
</comments>
</file>

<file path=xl/comments2.xml><?xml version="1.0" encoding="utf-8"?>
<comments xmlns="http://schemas.openxmlformats.org/spreadsheetml/2006/main">
  <authors>
    <author>Jeff Beaumont</author>
  </authors>
  <commentList>
    <comment ref="M9" authorId="0">
      <text>
        <r>
          <rPr>
            <b/>
            <sz val="8"/>
            <color indexed="81"/>
            <rFont val="Tahoma"/>
            <charset val="1"/>
          </rPr>
          <t>Jeff Beaumont:</t>
        </r>
        <r>
          <rPr>
            <sz val="8"/>
            <color indexed="81"/>
            <rFont val="Tahoma"/>
            <charset val="1"/>
          </rPr>
          <t xml:space="preserve">
I took the actual received to date and then actualized the remaining amount for the year by taking what has been received in the CY and multiplying it by the percentage of offerings that is typically received in the remaining part of the year.
Furthermore, note that I added $25,000 as a VERY rough estimate for year end giving to be mailed in to the church after the last Sunday.</t>
        </r>
      </text>
    </comment>
    <comment ref="M24" authorId="0">
      <text>
        <r>
          <rPr>
            <b/>
            <sz val="8"/>
            <color indexed="81"/>
            <rFont val="Tahoma"/>
            <family val="2"/>
          </rPr>
          <t>Jeff Beaumont:</t>
        </r>
        <r>
          <rPr>
            <sz val="8"/>
            <color indexed="81"/>
            <rFont val="Tahoma"/>
            <family val="2"/>
          </rPr>
          <t xml:space="preserve">
Includes building fund, other special revenue factored in at the Source data tab.</t>
        </r>
      </text>
    </comment>
    <comment ref="N24" authorId="0">
      <text>
        <r>
          <rPr>
            <b/>
            <sz val="8"/>
            <color indexed="81"/>
            <rFont val="Tahoma"/>
            <family val="2"/>
          </rPr>
          <t>Jeff Beaumont:</t>
        </r>
        <r>
          <rPr>
            <sz val="8"/>
            <color indexed="81"/>
            <rFont val="Tahoma"/>
            <family val="2"/>
          </rPr>
          <t xml:space="preserve">
Unrestricted Sunday offerings</t>
        </r>
      </text>
    </comment>
  </commentList>
</comments>
</file>

<file path=xl/comments3.xml><?xml version="1.0" encoding="utf-8"?>
<comments xmlns="http://schemas.openxmlformats.org/spreadsheetml/2006/main">
  <authors>
    <author>Jeff Beaumont</author>
  </authors>
  <commentList>
    <comment ref="T8" authorId="0">
      <text>
        <r>
          <rPr>
            <b/>
            <sz val="8"/>
            <color indexed="81"/>
            <rFont val="Tahoma"/>
            <family val="2"/>
          </rPr>
          <t>Jeff Beaumont:</t>
        </r>
        <r>
          <rPr>
            <sz val="8"/>
            <color indexed="81"/>
            <rFont val="Tahoma"/>
            <family val="2"/>
          </rPr>
          <t xml:space="preserve">
Analyzes the data since 2005. Although the economic slump occurred in 2008, I took a longer period due to the odd behavior of the economy and activities of the church (new building, rapid growth, etc.)
Author's note: please feel free to change this, especially depending on your own unique situation(s). I will frequently change the date rate on this to spot trends, so it may vary from year to year.</t>
        </r>
      </text>
    </comment>
    <comment ref="T67" authorId="0">
      <text>
        <r>
          <rPr>
            <b/>
            <sz val="8"/>
            <color indexed="81"/>
            <rFont val="Tahoma"/>
            <family val="2"/>
          </rPr>
          <t>Jeff Beaumont:</t>
        </r>
        <r>
          <rPr>
            <sz val="8"/>
            <color indexed="81"/>
            <rFont val="Tahoma"/>
            <family val="2"/>
          </rPr>
          <t xml:space="preserve">
Analyzes the data since 2005. Although the economic slump occurred in 2008, I took a longer period due to the odd behavior of the economy and activities of the church (new building, rapid growth, etc.)
Author's note: please feel free to change this, especially depending on your own unique situation(s). I will frequently change the date rate on this to spot trends, so it may vary from year to year.</t>
        </r>
      </text>
    </comment>
  </commentList>
</comments>
</file>

<file path=xl/sharedStrings.xml><?xml version="1.0" encoding="utf-8"?>
<sst xmlns="http://schemas.openxmlformats.org/spreadsheetml/2006/main" count="622" uniqueCount="357">
  <si>
    <t>Week</t>
  </si>
  <si>
    <t>Date</t>
  </si>
  <si>
    <t>Offering</t>
  </si>
  <si>
    <t>Average</t>
  </si>
  <si>
    <t>Building</t>
  </si>
  <si>
    <t>Total</t>
  </si>
  <si>
    <t>YTD</t>
  </si>
  <si>
    <t>Unrestricted</t>
  </si>
  <si>
    <t>Budget proposal worksheet</t>
  </si>
  <si>
    <t>Total revenue</t>
  </si>
  <si>
    <t>1-2</t>
  </si>
  <si>
    <t>1-9</t>
  </si>
  <si>
    <t>1-16</t>
  </si>
  <si>
    <t>1-23</t>
  </si>
  <si>
    <t>1-30</t>
  </si>
  <si>
    <t>2-6</t>
  </si>
  <si>
    <t>2-13</t>
  </si>
  <si>
    <t>2-20</t>
  </si>
  <si>
    <t>2-27</t>
  </si>
  <si>
    <t>3-6</t>
  </si>
  <si>
    <t>3-13</t>
  </si>
  <si>
    <t>3-20</t>
  </si>
  <si>
    <t>3-27</t>
  </si>
  <si>
    <t>4-3</t>
  </si>
  <si>
    <t>4-10</t>
  </si>
  <si>
    <t>4-17</t>
  </si>
  <si>
    <t>4-24</t>
  </si>
  <si>
    <t>5-1</t>
  </si>
  <si>
    <t>5-8</t>
  </si>
  <si>
    <t>5-15</t>
  </si>
  <si>
    <t>5-22</t>
  </si>
  <si>
    <t>5-29</t>
  </si>
  <si>
    <t>6-5</t>
  </si>
  <si>
    <t>6-12</t>
  </si>
  <si>
    <t>6-19</t>
  </si>
  <si>
    <t>6-26</t>
  </si>
  <si>
    <t>7-3</t>
  </si>
  <si>
    <t>7-10</t>
  </si>
  <si>
    <t>7-17</t>
  </si>
  <si>
    <t>7-24</t>
  </si>
  <si>
    <t>7-31</t>
  </si>
  <si>
    <t>8-7</t>
  </si>
  <si>
    <t>8-14</t>
  </si>
  <si>
    <t>8-21</t>
  </si>
  <si>
    <t>8-28</t>
  </si>
  <si>
    <t>9-4</t>
  </si>
  <si>
    <t>9-11</t>
  </si>
  <si>
    <t>9-18</t>
  </si>
  <si>
    <t>9-25</t>
  </si>
  <si>
    <t>10-2</t>
  </si>
  <si>
    <t>10-9</t>
  </si>
  <si>
    <t>10-16</t>
  </si>
  <si>
    <t>10-23</t>
  </si>
  <si>
    <t>10-30</t>
  </si>
  <si>
    <t>11-6</t>
  </si>
  <si>
    <t>11-13</t>
  </si>
  <si>
    <t>11-20</t>
  </si>
  <si>
    <t>11-27</t>
  </si>
  <si>
    <t>12-4</t>
  </si>
  <si>
    <t>12-11</t>
  </si>
  <si>
    <t>12-18</t>
  </si>
  <si>
    <t>12-25</t>
  </si>
  <si>
    <t>Attendance</t>
  </si>
  <si>
    <t>1-1</t>
  </si>
  <si>
    <t>1-8</t>
  </si>
  <si>
    <t>1-22</t>
  </si>
  <si>
    <t>1-29</t>
  </si>
  <si>
    <t>2-5</t>
  </si>
  <si>
    <t>2-12</t>
  </si>
  <si>
    <t>2-19</t>
  </si>
  <si>
    <t>2-26</t>
  </si>
  <si>
    <t>3-5</t>
  </si>
  <si>
    <t>3-12</t>
  </si>
  <si>
    <t>3-19</t>
  </si>
  <si>
    <t>3-26</t>
  </si>
  <si>
    <t>4-2</t>
  </si>
  <si>
    <t>4-9</t>
  </si>
  <si>
    <t>4-16</t>
  </si>
  <si>
    <t>4-23</t>
  </si>
  <si>
    <t>4-30</t>
  </si>
  <si>
    <t>5-7</t>
  </si>
  <si>
    <t>5-14</t>
  </si>
  <si>
    <t>5-21</t>
  </si>
  <si>
    <t>5-28</t>
  </si>
  <si>
    <t>6-4</t>
  </si>
  <si>
    <t>6-11</t>
  </si>
  <si>
    <t>6-18</t>
  </si>
  <si>
    <t>6-25</t>
  </si>
  <si>
    <t>7-2</t>
  </si>
  <si>
    <t>7-9</t>
  </si>
  <si>
    <t>7-16</t>
  </si>
  <si>
    <t>7-23</t>
  </si>
  <si>
    <t>7-30</t>
  </si>
  <si>
    <t>8-6</t>
  </si>
  <si>
    <t>8-13</t>
  </si>
  <si>
    <t>8-20</t>
  </si>
  <si>
    <t>8-27</t>
  </si>
  <si>
    <t>9-3</t>
  </si>
  <si>
    <t>9-10</t>
  </si>
  <si>
    <t>9-17</t>
  </si>
  <si>
    <t>9-24</t>
  </si>
  <si>
    <t>10-1</t>
  </si>
  <si>
    <t>10-8</t>
  </si>
  <si>
    <t>10-15</t>
  </si>
  <si>
    <t>10-22</t>
  </si>
  <si>
    <t>10-29</t>
  </si>
  <si>
    <t>11-5</t>
  </si>
  <si>
    <t>11-12</t>
  </si>
  <si>
    <t>11-19</t>
  </si>
  <si>
    <t>11-26</t>
  </si>
  <si>
    <t>12-3</t>
  </si>
  <si>
    <t>12-10</t>
  </si>
  <si>
    <t>12-17</t>
  </si>
  <si>
    <t>12-24</t>
  </si>
  <si>
    <t>1-7</t>
  </si>
  <si>
    <t>1-14</t>
  </si>
  <si>
    <t>1-21</t>
  </si>
  <si>
    <t>1-28</t>
  </si>
  <si>
    <t>2-4</t>
  </si>
  <si>
    <t>2-11</t>
  </si>
  <si>
    <t>2-18</t>
  </si>
  <si>
    <t>2-25</t>
  </si>
  <si>
    <t>3-4</t>
  </si>
  <si>
    <t>3-11</t>
  </si>
  <si>
    <t>3-18</t>
  </si>
  <si>
    <t>3-25</t>
  </si>
  <si>
    <t>4-1</t>
  </si>
  <si>
    <t>4-8</t>
  </si>
  <si>
    <t>4-15</t>
  </si>
  <si>
    <t>4-22</t>
  </si>
  <si>
    <t>4-29</t>
  </si>
  <si>
    <t>5-6</t>
  </si>
  <si>
    <t>5-13</t>
  </si>
  <si>
    <t>5-20</t>
  </si>
  <si>
    <t>5-27</t>
  </si>
  <si>
    <t>6-3</t>
  </si>
  <si>
    <t>6-10</t>
  </si>
  <si>
    <t>6-17</t>
  </si>
  <si>
    <t>6-24</t>
  </si>
  <si>
    <t>7-1</t>
  </si>
  <si>
    <t>7-8</t>
  </si>
  <si>
    <t>7-15</t>
  </si>
  <si>
    <t>7-22</t>
  </si>
  <si>
    <t>7-29</t>
  </si>
  <si>
    <t>8-5</t>
  </si>
  <si>
    <t>8-12</t>
  </si>
  <si>
    <t>8-19</t>
  </si>
  <si>
    <t>8-26</t>
  </si>
  <si>
    <t>9-2</t>
  </si>
  <si>
    <t>9-9</t>
  </si>
  <si>
    <t>9-16</t>
  </si>
  <si>
    <t>9-23</t>
  </si>
  <si>
    <t>9-30</t>
  </si>
  <si>
    <t>10-7</t>
  </si>
  <si>
    <t>10-14</t>
  </si>
  <si>
    <t>10-21</t>
  </si>
  <si>
    <t>10-28</t>
  </si>
  <si>
    <t>11-4</t>
  </si>
  <si>
    <t>11-11</t>
  </si>
  <si>
    <t>11-18</t>
  </si>
  <si>
    <t>11-25</t>
  </si>
  <si>
    <t>12-2</t>
  </si>
  <si>
    <t>12-9</t>
  </si>
  <si>
    <t>12-16</t>
  </si>
  <si>
    <t>12-23</t>
  </si>
  <si>
    <t>12-30</t>
  </si>
  <si>
    <t>1-6</t>
  </si>
  <si>
    <t>1-13</t>
  </si>
  <si>
    <t>1-20</t>
  </si>
  <si>
    <t>1-27</t>
  </si>
  <si>
    <t>2-3</t>
  </si>
  <si>
    <t>2-10</t>
  </si>
  <si>
    <t>2-17</t>
  </si>
  <si>
    <t>2-24</t>
  </si>
  <si>
    <t>3-2</t>
  </si>
  <si>
    <t>3-9</t>
  </si>
  <si>
    <t>3-16</t>
  </si>
  <si>
    <t>3-23</t>
  </si>
  <si>
    <t>3-30</t>
  </si>
  <si>
    <t>4-6</t>
  </si>
  <si>
    <t>4-13</t>
  </si>
  <si>
    <t>4-20</t>
  </si>
  <si>
    <t>4-27</t>
  </si>
  <si>
    <t>5-4</t>
  </si>
  <si>
    <t>5-11</t>
  </si>
  <si>
    <t>5-18</t>
  </si>
  <si>
    <t>5-25</t>
  </si>
  <si>
    <t>6-1</t>
  </si>
  <si>
    <t>6-8</t>
  </si>
  <si>
    <t>6-15</t>
  </si>
  <si>
    <t>6-22</t>
  </si>
  <si>
    <t>6-29</t>
  </si>
  <si>
    <t>7-6</t>
  </si>
  <si>
    <t>7-13</t>
  </si>
  <si>
    <t>7-20</t>
  </si>
  <si>
    <t>7-27</t>
  </si>
  <si>
    <t>8-3</t>
  </si>
  <si>
    <t>8-10</t>
  </si>
  <si>
    <t>8-17</t>
  </si>
  <si>
    <t>8-24</t>
  </si>
  <si>
    <t>8-31</t>
  </si>
  <si>
    <t>9-7</t>
  </si>
  <si>
    <t>9-14</t>
  </si>
  <si>
    <t>9-21</t>
  </si>
  <si>
    <t>9-28</t>
  </si>
  <si>
    <t>10-5</t>
  </si>
  <si>
    <t>10-12</t>
  </si>
  <si>
    <t>10-19</t>
  </si>
  <si>
    <t>10-26</t>
  </si>
  <si>
    <t>11-2</t>
  </si>
  <si>
    <t>11-9</t>
  </si>
  <si>
    <t>11-16</t>
  </si>
  <si>
    <t>11-23</t>
  </si>
  <si>
    <t>11-30</t>
  </si>
  <si>
    <t>12-7</t>
  </si>
  <si>
    <t>12-14</t>
  </si>
  <si>
    <t>12-21</t>
  </si>
  <si>
    <t>12-28</t>
  </si>
  <si>
    <t>1-4</t>
  </si>
  <si>
    <t>1-11</t>
  </si>
  <si>
    <t>1-18</t>
  </si>
  <si>
    <t>1-25</t>
  </si>
  <si>
    <t>2-1</t>
  </si>
  <si>
    <t>2-8</t>
  </si>
  <si>
    <t>2-15</t>
  </si>
  <si>
    <t>2-22</t>
  </si>
  <si>
    <t>3-1</t>
  </si>
  <si>
    <t>3-8</t>
  </si>
  <si>
    <t>3-15</t>
  </si>
  <si>
    <t>3-22</t>
  </si>
  <si>
    <t>3-29</t>
  </si>
  <si>
    <t>4-5</t>
  </si>
  <si>
    <t>4-12</t>
  </si>
  <si>
    <t>4-19</t>
  </si>
  <si>
    <t>4-26</t>
  </si>
  <si>
    <t>5-3</t>
  </si>
  <si>
    <t>5-10</t>
  </si>
  <si>
    <t>5-17</t>
  </si>
  <si>
    <t>5-24</t>
  </si>
  <si>
    <t>5-31</t>
  </si>
  <si>
    <t>6-7</t>
  </si>
  <si>
    <t>6-14</t>
  </si>
  <si>
    <t>6-21</t>
  </si>
  <si>
    <t>6-28</t>
  </si>
  <si>
    <t>7-5</t>
  </si>
  <si>
    <t>7-12</t>
  </si>
  <si>
    <t>7-19</t>
  </si>
  <si>
    <t>7-26</t>
  </si>
  <si>
    <t>8-2</t>
  </si>
  <si>
    <t>8-9</t>
  </si>
  <si>
    <t>8-16</t>
  </si>
  <si>
    <t>8-23</t>
  </si>
  <si>
    <t>8-30</t>
  </si>
  <si>
    <t>9-6</t>
  </si>
  <si>
    <t>9-13</t>
  </si>
  <si>
    <t>9-20</t>
  </si>
  <si>
    <t>9-27</t>
  </si>
  <si>
    <t>10-4</t>
  </si>
  <si>
    <t>10-11</t>
  </si>
  <si>
    <t>10-18</t>
  </si>
  <si>
    <t>10-25</t>
  </si>
  <si>
    <t>11-1</t>
  </si>
  <si>
    <t>11-8</t>
  </si>
  <si>
    <t>11-15</t>
  </si>
  <si>
    <t>11-22</t>
  </si>
  <si>
    <t>11-29</t>
  </si>
  <si>
    <t>12-6</t>
  </si>
  <si>
    <t>12-13</t>
  </si>
  <si>
    <t>12-20</t>
  </si>
  <si>
    <t>12-27</t>
  </si>
  <si>
    <t>Giving per attendee</t>
  </si>
  <si>
    <t>Year-over-year revenue per attendee analysis</t>
  </si>
  <si>
    <t>Unrestricted offering only</t>
  </si>
  <si>
    <t>Highest</t>
  </si>
  <si>
    <t>Lowest</t>
  </si>
  <si>
    <t>Year-over-year attendee growth analysis</t>
  </si>
  <si>
    <t>Attendance per week</t>
  </si>
  <si>
    <t xml:space="preserve">Average </t>
  </si>
  <si>
    <t>last 3 years</t>
  </si>
  <si>
    <t>Revenue</t>
  </si>
  <si>
    <t>per attendee</t>
  </si>
  <si>
    <t>Anticipated</t>
  </si>
  <si>
    <t>revenue</t>
  </si>
  <si>
    <t>Revenue projections</t>
  </si>
  <si>
    <t>Revenue per attendee Trigger</t>
  </si>
  <si>
    <t>Attendance Trigger</t>
  </si>
  <si>
    <t>last 2 years</t>
  </si>
  <si>
    <t>Last</t>
  </si>
  <si>
    <t>year</t>
  </si>
  <si>
    <t>Budget growth</t>
  </si>
  <si>
    <t>Revenue growth</t>
  </si>
  <si>
    <t>Offering revenue</t>
  </si>
  <si>
    <t>Budgeted offering revenue</t>
  </si>
  <si>
    <t>Offering-budget difference</t>
  </si>
  <si>
    <t>n/a</t>
  </si>
  <si>
    <t>Budget / attendance</t>
  </si>
  <si>
    <t>Offering / attendance</t>
  </si>
  <si>
    <t>Total revenue / attendance</t>
  </si>
  <si>
    <t>Trend</t>
  </si>
  <si>
    <t>analysis</t>
  </si>
  <si>
    <t>(1=High, 2=Ave., 3=Low, 4=Ave. last 3 years, 5=Ave. last 2 years, 6=last year, 7=Trend analysis)</t>
  </si>
  <si>
    <t>Notes</t>
  </si>
  <si>
    <t>"Offering revenue" is defined as unrestricted offerings only.</t>
  </si>
  <si>
    <t>"Offering-budget difference" is budgeted offering revenue less revenue because, prior to 2012, the budget was determined on unrestricted revenue and did not take into consideration other forms of revenue.</t>
  </si>
  <si>
    <t>Font color terms</t>
  </si>
  <si>
    <t>Actual Figures</t>
  </si>
  <si>
    <t>Ave</t>
  </si>
  <si>
    <t>% of budget received to date</t>
  </si>
  <si>
    <t>Budgeted revenue to date</t>
  </si>
  <si>
    <t>% budgeted to date</t>
  </si>
  <si>
    <t>Total congregant revenue</t>
  </si>
  <si>
    <t>Percentage of year:</t>
  </si>
  <si>
    <t>Projection</t>
  </si>
  <si>
    <t>Projected to Actual Variance</t>
  </si>
  <si>
    <t>"Total congregant revenue" is defined as unrestricted, building, and final projects offerings. It does not include the self-funded items or any miscellaneous funds.</t>
  </si>
  <si>
    <t>Black cells are calculations</t>
  </si>
  <si>
    <t>Blue cells are input cells</t>
  </si>
  <si>
    <t>Green cells are cell values with references to other tabs</t>
  </si>
  <si>
    <t>Most recent week:</t>
  </si>
  <si>
    <t>Revenue projections - Year-to-Date</t>
  </si>
  <si>
    <t>CHOOSE: most recent or specific week?</t>
  </si>
  <si>
    <t>If so, name a week</t>
  </si>
  <si>
    <t>(1=High, 2=Average, 3=Low, 4=Ave. last 3 years, 5=Ave. last 2 years, 6=last year, 7=Trend analysis)</t>
  </si>
  <si>
    <t>Actual</t>
  </si>
  <si>
    <t>Budgeted total congregant revenue</t>
  </si>
  <si>
    <t>Actual average attendance</t>
  </si>
  <si>
    <t>Budgeted</t>
  </si>
  <si>
    <t>Budgeted unres.</t>
  </si>
  <si>
    <t>budgeted total</t>
  </si>
  <si>
    <t>Offerings calculations analysis</t>
  </si>
  <si>
    <t>Offerings</t>
  </si>
  <si>
    <t>Check</t>
  </si>
  <si>
    <t>Offerings calculations</t>
  </si>
  <si>
    <t>Attend: last year &amp; offerings per attendee: last year</t>
  </si>
  <si>
    <t>% increase of:</t>
  </si>
  <si>
    <t>Projected budget trigger:</t>
  </si>
  <si>
    <t>Attend: high &amp; offerings per attendee: high (this is the hail mary pass for the FC)</t>
  </si>
  <si>
    <t>Revenue % trend analysis</t>
  </si>
  <si>
    <t>Attendance % trend analysis</t>
  </si>
  <si>
    <t>7yr Trend</t>
  </si>
  <si>
    <t>Attend: 7 year trend &amp; offerings per attendee: last year</t>
  </si>
  <si>
    <t>Attend: 7 year trend &amp; offerings per attendee: high (also a hail mary)</t>
  </si>
  <si>
    <t>Attend: 7 year trend &amp; offerings per attendee: 8 year trend</t>
  </si>
  <si>
    <t>Attend: last year &amp; offerings per attendee: 8 year trend</t>
  </si>
  <si>
    <t>Attendee: high: &amp; offering per attendee: 8 year trend</t>
  </si>
  <si>
    <t>Total rev</t>
  </si>
  <si>
    <t>trend</t>
  </si>
  <si>
    <t>Source data</t>
  </si>
  <si>
    <t>Budgeted total offerings revenue</t>
  </si>
  <si>
    <t>Budgeted unrestricted offering revenue</t>
  </si>
  <si>
    <t>Example Church</t>
  </si>
  <si>
    <t>10/31/13</t>
  </si>
  <si>
    <t>Special Campaigns</t>
  </si>
  <si>
    <t>Example</t>
  </si>
  <si>
    <t>Campaigns</t>
  </si>
  <si>
    <t>Note: these below will have to be manually inputted.</t>
  </si>
  <si>
    <t>Agreed</t>
  </si>
</sst>
</file>

<file path=xl/styles.xml><?xml version="1.0" encoding="utf-8"?>
<styleSheet xmlns="http://schemas.openxmlformats.org/spreadsheetml/2006/main">
  <numFmts count="7">
    <numFmt numFmtId="41" formatCode="_(* #,##0_);_(* \(#,##0\);_(* &quot;-&quot;_);_(@_)"/>
    <numFmt numFmtId="44" formatCode="_(&quot;$&quot;* #,##0.00_);_(&quot;$&quot;* \(#,##0.00\);_(&quot;$&quot;* &quot;-&quot;??_);_(@_)"/>
    <numFmt numFmtId="43" formatCode="_(* #,##0.00_);_(* \(#,##0.00\);_(* &quot;-&quot;??_);_(@_)"/>
    <numFmt numFmtId="164" formatCode="mm/dd/yy"/>
    <numFmt numFmtId="165" formatCode="0.0%"/>
    <numFmt numFmtId="166" formatCode="[$-409]mmmm\ d\,\ yyyy;@"/>
    <numFmt numFmtId="167" formatCode="_(* #,##0_);_(* \(#,##0\);_(* &quot;-&quot;??_);_(@_)"/>
  </numFmts>
  <fonts count="42">
    <font>
      <sz val="10"/>
      <name val="Times New Roman"/>
    </font>
    <font>
      <sz val="11"/>
      <color indexed="8"/>
      <name val="Calibri"/>
      <family val="2"/>
    </font>
    <font>
      <sz val="10"/>
      <name val="Times New Roman"/>
      <family val="1"/>
    </font>
    <font>
      <sz val="8"/>
      <color indexed="81"/>
      <name val="Tahoma"/>
      <family val="2"/>
    </font>
    <font>
      <sz val="10"/>
      <name val="Times New Roman"/>
      <family val="1"/>
    </font>
    <font>
      <b/>
      <sz val="18"/>
      <color theme="3"/>
      <name val="Cambria"/>
      <family val="2"/>
      <scheme val="major"/>
    </font>
    <font>
      <sz val="10"/>
      <color theme="0"/>
      <name val="Times New Roman"/>
      <family val="2"/>
    </font>
    <font>
      <sz val="10"/>
      <color theme="1"/>
      <name val="Times New Roman"/>
      <family val="2"/>
    </font>
    <font>
      <sz val="10"/>
      <color rgb="FF9C0006"/>
      <name val="Times New Roman"/>
      <family val="2"/>
    </font>
    <font>
      <b/>
      <sz val="10"/>
      <color rgb="FFFA7D00"/>
      <name val="Times New Roman"/>
      <family val="2"/>
    </font>
    <font>
      <b/>
      <sz val="10"/>
      <color theme="0"/>
      <name val="Times New Roman"/>
      <family val="2"/>
    </font>
    <font>
      <b/>
      <sz val="10"/>
      <color theme="1"/>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sz val="10"/>
      <color rgb="FFFF0000"/>
      <name val="Times New Roman"/>
      <family val="2"/>
    </font>
    <font>
      <sz val="10"/>
      <name val="Calibri"/>
      <family val="2"/>
      <scheme val="minor"/>
    </font>
    <font>
      <i/>
      <sz val="10"/>
      <name val="Calibri"/>
      <family val="2"/>
      <scheme val="minor"/>
    </font>
    <font>
      <sz val="10"/>
      <color rgb="FFFF0000"/>
      <name val="Calibri"/>
      <family val="2"/>
      <scheme val="minor"/>
    </font>
    <font>
      <b/>
      <sz val="10"/>
      <name val="Calibri"/>
      <family val="2"/>
      <scheme val="minor"/>
    </font>
    <font>
      <sz val="10"/>
      <color indexed="10"/>
      <name val="Calibri"/>
      <family val="2"/>
      <scheme val="minor"/>
    </font>
    <font>
      <sz val="10"/>
      <color rgb="FF0070C0"/>
      <name val="Calibri"/>
      <family val="2"/>
      <scheme val="minor"/>
    </font>
    <font>
      <i/>
      <sz val="9"/>
      <name val="Calibri"/>
      <family val="2"/>
      <scheme val="minor"/>
    </font>
    <font>
      <sz val="10"/>
      <color rgb="FF00B050"/>
      <name val="Calibri"/>
      <family val="2"/>
      <scheme val="minor"/>
    </font>
    <font>
      <sz val="10"/>
      <color theme="0"/>
      <name val="Calibri"/>
      <family val="2"/>
      <scheme val="minor"/>
    </font>
    <font>
      <b/>
      <sz val="8"/>
      <color indexed="81"/>
      <name val="Tahoma"/>
      <family val="2"/>
    </font>
    <font>
      <u/>
      <sz val="10"/>
      <color theme="10"/>
      <name val="Times New Roman"/>
    </font>
    <font>
      <u/>
      <sz val="10"/>
      <color theme="11"/>
      <name val="Times New Roman"/>
    </font>
    <font>
      <sz val="10"/>
      <color rgb="FF008000"/>
      <name val="Calibri"/>
      <scheme val="minor"/>
    </font>
    <font>
      <sz val="8"/>
      <color indexed="81"/>
      <name val="Tahoma"/>
      <charset val="1"/>
    </font>
    <font>
      <b/>
      <sz val="8"/>
      <color indexed="81"/>
      <name val="Tahoma"/>
      <charset val="1"/>
    </font>
    <font>
      <u/>
      <sz val="10"/>
      <color theme="10"/>
      <name val="Times New Roman"/>
      <family val="1"/>
    </font>
    <font>
      <u/>
      <sz val="10"/>
      <color theme="11"/>
      <name val="Times New Roman"/>
      <family val="1"/>
    </font>
    <font>
      <sz val="12"/>
      <color theme="1"/>
      <name val="Calibri"/>
      <family val="2"/>
      <scheme val="minor"/>
    </font>
    <font>
      <b/>
      <sz val="10"/>
      <color rgb="FFFF0000"/>
      <name val="Calibri"/>
      <family val="2"/>
      <scheme val="minor"/>
    </font>
    <font>
      <i/>
      <sz val="10"/>
      <color theme="1" tint="0.249977111117893"/>
      <name val="Calibri"/>
      <family val="2"/>
      <scheme val="minor"/>
    </font>
    <font>
      <i/>
      <sz val="10"/>
      <color rgb="FF0070C0"/>
      <name val="Calibri"/>
      <family val="2"/>
      <scheme val="minor"/>
    </font>
  </fonts>
  <fills count="38">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bgColor theme="5"/>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theme="0" tint="-0.249977111117893"/>
        <bgColor indexed="64"/>
      </patternFill>
    </fill>
    <fill>
      <patternFill patternType="solid">
        <fgColor rgb="FFFFFF00"/>
        <bgColor indexed="64"/>
      </patternFill>
    </fill>
  </fills>
  <borders count="25">
    <border>
      <left/>
      <right/>
      <top/>
      <bottom/>
      <diagonal/>
    </border>
    <border>
      <left/>
      <right/>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auto="1"/>
      </bottom>
      <diagonal/>
    </border>
    <border>
      <left style="thin">
        <color rgb="FF0070C0"/>
      </left>
      <right style="thin">
        <color rgb="FF0070C0"/>
      </right>
      <top/>
      <bottom style="thin">
        <color rgb="FF0070C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s>
  <cellStyleXfs count="304">
    <xf numFmtId="0" fontId="0" fillId="0" borderId="0"/>
    <xf numFmtId="43" fontId="2"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8" fillId="26" borderId="0" applyNumberFormat="0" applyBorder="0" applyAlignment="0" applyProtection="0"/>
    <xf numFmtId="0" fontId="9" fillId="27" borderId="6" applyNumberFormat="0" applyAlignment="0" applyProtection="0"/>
    <xf numFmtId="0" fontId="10" fillId="28" borderId="9" applyNumberFormat="0" applyAlignment="0" applyProtection="0"/>
    <xf numFmtId="0" fontId="6" fillId="2"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3" borderId="6" applyNumberFormat="0" applyAlignment="0" applyProtection="0"/>
    <xf numFmtId="0" fontId="17" fillId="0" borderId="8" applyNumberFormat="0" applyFill="0" applyAlignment="0" applyProtection="0"/>
    <xf numFmtId="0" fontId="18" fillId="34" borderId="0" applyNumberFormat="0" applyBorder="0" applyAlignment="0" applyProtection="0"/>
    <xf numFmtId="0" fontId="4" fillId="35" borderId="10" applyNumberFormat="0" applyFont="0" applyAlignment="0" applyProtection="0"/>
    <xf numFmtId="0" fontId="19" fillId="27" borderId="7" applyNumberFormat="0" applyAlignment="0" applyProtection="0"/>
    <xf numFmtId="0" fontId="5" fillId="0" borderId="0" applyNumberFormat="0" applyFill="0" applyBorder="0" applyAlignment="0" applyProtection="0"/>
    <xf numFmtId="0" fontId="11" fillId="0" borderId="11" applyNumberFormat="0" applyFill="0" applyAlignment="0" applyProtection="0"/>
    <xf numFmtId="0" fontId="20" fillId="0" borderId="0" applyNumberFormat="0" applyFill="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44" fontId="2" fillId="0" borderId="0" applyFont="0" applyFill="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2"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5" borderId="10" applyNumberFormat="0" applyFon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cellStyleXfs>
  <cellXfs count="115">
    <xf numFmtId="0" fontId="0" fillId="0" borderId="0" xfId="0"/>
    <xf numFmtId="0" fontId="21" fillId="0" borderId="0" xfId="0" applyFont="1"/>
    <xf numFmtId="0" fontId="22" fillId="0" borderId="0" xfId="0" applyFont="1"/>
    <xf numFmtId="41" fontId="21" fillId="0" borderId="0" xfId="0" applyNumberFormat="1" applyFont="1"/>
    <xf numFmtId="0" fontId="23" fillId="0" borderId="0" xfId="0" applyFont="1" applyAlignment="1">
      <alignment horizontal="center"/>
    </xf>
    <xf numFmtId="0" fontId="24" fillId="0" borderId="0" xfId="0" applyFont="1" applyAlignment="1">
      <alignment horizontal="center"/>
    </xf>
    <xf numFmtId="165" fontId="21" fillId="0" borderId="0" xfId="2" applyNumberFormat="1" applyFont="1"/>
    <xf numFmtId="0" fontId="24" fillId="0" borderId="0" xfId="0" applyFont="1"/>
    <xf numFmtId="166" fontId="24" fillId="0" borderId="0" xfId="0" quotePrefix="1" applyNumberFormat="1" applyFont="1"/>
    <xf numFmtId="0" fontId="21" fillId="0" borderId="0" xfId="0" applyFont="1" applyAlignment="1">
      <alignment horizontal="center"/>
    </xf>
    <xf numFmtId="164" fontId="21" fillId="0" borderId="0" xfId="0" applyNumberFormat="1" applyFont="1" applyAlignment="1">
      <alignment horizontal="center"/>
    </xf>
    <xf numFmtId="41" fontId="21" fillId="0" borderId="0" xfId="1" applyNumberFormat="1" applyFont="1" applyAlignment="1">
      <alignment horizontal="center"/>
    </xf>
    <xf numFmtId="164" fontId="24" fillId="0" borderId="0" xfId="0" applyNumberFormat="1" applyFont="1" applyAlignment="1">
      <alignment horizontal="center"/>
    </xf>
    <xf numFmtId="41" fontId="24" fillId="0" borderId="0" xfId="1" applyNumberFormat="1" applyFont="1" applyAlignment="1">
      <alignment horizontal="center"/>
    </xf>
    <xf numFmtId="43" fontId="24" fillId="0" borderId="0" xfId="1" applyFont="1" applyAlignment="1">
      <alignment horizontal="center"/>
    </xf>
    <xf numFmtId="164" fontId="21" fillId="0" borderId="0" xfId="0" applyNumberFormat="1" applyFont="1"/>
    <xf numFmtId="41" fontId="21" fillId="0" borderId="0" xfId="1" applyNumberFormat="1" applyFont="1"/>
    <xf numFmtId="0" fontId="21" fillId="0" borderId="0" xfId="0" applyFont="1" applyFill="1"/>
    <xf numFmtId="41" fontId="21" fillId="0" borderId="0" xfId="3" applyNumberFormat="1" applyFont="1"/>
    <xf numFmtId="0" fontId="21" fillId="0" borderId="0" xfId="0" applyFont="1" applyBorder="1" applyAlignment="1">
      <alignment horizontal="center"/>
    </xf>
    <xf numFmtId="0" fontId="21" fillId="0" borderId="0" xfId="0" applyFont="1" applyFill="1" applyAlignment="1">
      <alignment horizontal="center"/>
    </xf>
    <xf numFmtId="0" fontId="21" fillId="0" borderId="1" xfId="0" applyFont="1" applyFill="1" applyBorder="1"/>
    <xf numFmtId="0" fontId="21" fillId="0" borderId="1" xfId="0" applyFont="1" applyBorder="1" applyAlignment="1">
      <alignment horizontal="center"/>
    </xf>
    <xf numFmtId="0" fontId="21" fillId="0" borderId="1" xfId="0" applyFont="1" applyFill="1" applyBorder="1" applyAlignment="1">
      <alignment horizontal="center"/>
    </xf>
    <xf numFmtId="0" fontId="21" fillId="0" borderId="0" xfId="0" applyNumberFormat="1" applyFont="1" applyFill="1"/>
    <xf numFmtId="41" fontId="21" fillId="0" borderId="0" xfId="2" applyNumberFormat="1" applyFont="1" applyFill="1"/>
    <xf numFmtId="41" fontId="21" fillId="0" borderId="0" xfId="0" applyNumberFormat="1" applyFont="1" applyFill="1"/>
    <xf numFmtId="41" fontId="21" fillId="0" borderId="2" xfId="0" applyNumberFormat="1" applyFont="1" applyFill="1" applyBorder="1"/>
    <xf numFmtId="41" fontId="21" fillId="0" borderId="2" xfId="0" applyNumberFormat="1" applyFont="1" applyBorder="1"/>
    <xf numFmtId="0" fontId="24" fillId="0" borderId="13" xfId="5" applyFont="1" applyBorder="1"/>
    <xf numFmtId="0" fontId="21" fillId="0" borderId="2" xfId="5" applyFont="1" applyBorder="1"/>
    <xf numFmtId="0" fontId="25" fillId="0" borderId="14" xfId="5" applyFont="1" applyBorder="1" applyAlignment="1">
      <alignment horizontal="center"/>
    </xf>
    <xf numFmtId="0" fontId="21" fillId="0" borderId="12" xfId="5" applyFont="1" applyBorder="1"/>
    <xf numFmtId="0" fontId="21" fillId="0" borderId="1" xfId="5" applyFont="1" applyBorder="1"/>
    <xf numFmtId="0" fontId="21" fillId="0" borderId="15" xfId="5" applyFont="1" applyBorder="1" applyAlignment="1">
      <alignment horizontal="center"/>
    </xf>
    <xf numFmtId="1" fontId="21" fillId="0" borderId="2" xfId="0" applyNumberFormat="1" applyFont="1" applyBorder="1"/>
    <xf numFmtId="0" fontId="26" fillId="0" borderId="0" xfId="0" applyFont="1"/>
    <xf numFmtId="164" fontId="26" fillId="0" borderId="0" xfId="0" applyNumberFormat="1" applyFont="1"/>
    <xf numFmtId="41" fontId="26" fillId="0" borderId="0" xfId="1" applyNumberFormat="1" applyFont="1"/>
    <xf numFmtId="41" fontId="26" fillId="0" borderId="0" xfId="0" applyNumberFormat="1" applyFont="1"/>
    <xf numFmtId="41" fontId="26" fillId="0" borderId="0" xfId="3" applyNumberFormat="1" applyFont="1"/>
    <xf numFmtId="41" fontId="26" fillId="0" borderId="0" xfId="3" applyNumberFormat="1" applyFont="1" applyFill="1"/>
    <xf numFmtId="165" fontId="27" fillId="0" borderId="0" xfId="2" applyNumberFormat="1" applyFont="1"/>
    <xf numFmtId="41" fontId="28" fillId="0" borderId="0" xfId="0" applyNumberFormat="1" applyFont="1"/>
    <xf numFmtId="1" fontId="28" fillId="0" borderId="0" xfId="0" applyNumberFormat="1" applyFont="1"/>
    <xf numFmtId="41" fontId="28" fillId="0" borderId="0" xfId="2" applyNumberFormat="1" applyFont="1" applyFill="1"/>
    <xf numFmtId="0" fontId="29" fillId="0" borderId="0" xfId="0" applyFont="1"/>
    <xf numFmtId="0" fontId="28" fillId="0" borderId="0" xfId="0" applyFont="1"/>
    <xf numFmtId="0" fontId="21" fillId="0" borderId="0" xfId="0" applyFont="1" applyFill="1" applyBorder="1"/>
    <xf numFmtId="0" fontId="21" fillId="0" borderId="2" xfId="0" applyFont="1" applyBorder="1" applyAlignment="1">
      <alignment horizontal="center"/>
    </xf>
    <xf numFmtId="41" fontId="33" fillId="0" borderId="0" xfId="0" applyNumberFormat="1" applyFont="1"/>
    <xf numFmtId="1" fontId="21" fillId="0" borderId="0" xfId="0" applyNumberFormat="1" applyFont="1"/>
    <xf numFmtId="0" fontId="21" fillId="0" borderId="0" xfId="5" applyFont="1" applyBorder="1"/>
    <xf numFmtId="0" fontId="21" fillId="0" borderId="0" xfId="5" applyFont="1" applyBorder="1" applyAlignment="1">
      <alignment horizontal="center"/>
    </xf>
    <xf numFmtId="41" fontId="21" fillId="0" borderId="2" xfId="1" applyNumberFormat="1" applyFont="1" applyBorder="1"/>
    <xf numFmtId="0" fontId="21" fillId="0" borderId="0" xfId="0" applyFont="1" applyAlignment="1">
      <alignment horizontal="right"/>
    </xf>
    <xf numFmtId="9" fontId="21" fillId="0" borderId="0" xfId="2" applyFont="1"/>
    <xf numFmtId="9" fontId="21" fillId="0" borderId="2" xfId="0" applyNumberFormat="1" applyFont="1" applyBorder="1"/>
    <xf numFmtId="41" fontId="26" fillId="0" borderId="0" xfId="0" applyNumberFormat="1" applyFont="1" applyFill="1"/>
    <xf numFmtId="41" fontId="26" fillId="0" borderId="0" xfId="0" applyNumberFormat="1" applyFont="1" applyFill="1" applyAlignment="1">
      <alignment horizontal="center"/>
    </xf>
    <xf numFmtId="41" fontId="26" fillId="0" borderId="0" xfId="55" applyNumberFormat="1" applyFont="1" applyFill="1"/>
    <xf numFmtId="41" fontId="26" fillId="0" borderId="0" xfId="55" applyNumberFormat="1" applyFont="1" applyFill="1" applyAlignment="1">
      <alignment horizontal="center"/>
    </xf>
    <xf numFmtId="41" fontId="21" fillId="0" borderId="0" xfId="0" applyNumberFormat="1" applyFont="1" applyFill="1" applyAlignment="1">
      <alignment horizontal="center"/>
    </xf>
    <xf numFmtId="41" fontId="26" fillId="0" borderId="0" xfId="1" applyNumberFormat="1" applyFont="1" applyFill="1"/>
    <xf numFmtId="41" fontId="26" fillId="0" borderId="0" xfId="0" applyNumberFormat="1" applyFont="1" applyFill="1" applyBorder="1"/>
    <xf numFmtId="41" fontId="26" fillId="0" borderId="0" xfId="0" applyNumberFormat="1" applyFont="1" applyAlignment="1">
      <alignment horizontal="center"/>
    </xf>
    <xf numFmtId="41" fontId="28" fillId="0" borderId="0" xfId="0" applyNumberFormat="1" applyFont="1" applyFill="1"/>
    <xf numFmtId="165" fontId="21" fillId="0" borderId="0" xfId="2" applyNumberFormat="1" applyFont="1" applyFill="1"/>
    <xf numFmtId="167" fontId="28" fillId="0" borderId="0" xfId="0" applyNumberFormat="1" applyFont="1"/>
    <xf numFmtId="0" fontId="24" fillId="0" borderId="0" xfId="0" applyFont="1" applyAlignment="1">
      <alignment horizontal="left"/>
    </xf>
    <xf numFmtId="41" fontId="26" fillId="0" borderId="0" xfId="3" applyNumberFormat="1" applyFont="1" applyAlignment="1">
      <alignment horizontal="right"/>
    </xf>
    <xf numFmtId="41" fontId="26" fillId="0" borderId="0" xfId="0" applyNumberFormat="1" applyFont="1" applyAlignment="1">
      <alignment horizontal="right"/>
    </xf>
    <xf numFmtId="41" fontId="21" fillId="0" borderId="0" xfId="0" applyNumberFormat="1" applyFont="1" applyAlignment="1">
      <alignment horizontal="right"/>
    </xf>
    <xf numFmtId="41" fontId="26" fillId="0" borderId="0" xfId="179" applyNumberFormat="1" applyFont="1" applyAlignment="1">
      <alignment horizontal="right"/>
    </xf>
    <xf numFmtId="0" fontId="21" fillId="0" borderId="16"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41" fontId="26" fillId="0" borderId="19" xfId="0" applyNumberFormat="1" applyFont="1" applyBorder="1"/>
    <xf numFmtId="0" fontId="39" fillId="0" borderId="0" xfId="0" applyFont="1" applyAlignment="1">
      <alignment horizontal="center"/>
    </xf>
    <xf numFmtId="167" fontId="21" fillId="0" borderId="0" xfId="0" applyNumberFormat="1" applyFont="1"/>
    <xf numFmtId="41" fontId="21" fillId="0" borderId="0" xfId="0" applyNumberFormat="1" applyFont="1" applyFill="1" applyBorder="1"/>
    <xf numFmtId="0" fontId="21" fillId="0" borderId="21" xfId="0" applyFont="1" applyBorder="1"/>
    <xf numFmtId="0" fontId="23" fillId="0" borderId="22" xfId="0" applyFont="1" applyBorder="1" applyAlignment="1">
      <alignment horizontal="center"/>
    </xf>
    <xf numFmtId="0" fontId="24" fillId="0" borderId="20" xfId="0" applyFont="1" applyBorder="1"/>
    <xf numFmtId="10" fontId="21" fillId="0" borderId="0" xfId="2" applyNumberFormat="1" applyFont="1"/>
    <xf numFmtId="41" fontId="40" fillId="0" borderId="0" xfId="0" applyNumberFormat="1" applyFont="1"/>
    <xf numFmtId="0" fontId="40" fillId="0" borderId="0" xfId="0" applyFont="1" applyAlignment="1">
      <alignment horizontal="center"/>
    </xf>
    <xf numFmtId="0" fontId="24" fillId="0" borderId="0" xfId="0" applyFont="1" applyAlignment="1">
      <alignment horizontal="center"/>
    </xf>
    <xf numFmtId="0" fontId="21" fillId="0" borderId="0" xfId="0" applyFont="1" applyAlignment="1">
      <alignment horizontal="left" wrapText="1"/>
    </xf>
    <xf numFmtId="0" fontId="24" fillId="0" borderId="0" xfId="0" applyFont="1" applyAlignment="1">
      <alignment horizontal="center"/>
    </xf>
    <xf numFmtId="0" fontId="21" fillId="36" borderId="0" xfId="0" applyFont="1" applyFill="1" applyBorder="1" applyAlignment="1">
      <alignment horizontal="left"/>
    </xf>
    <xf numFmtId="0" fontId="21" fillId="0" borderId="0" xfId="0" applyFont="1" applyBorder="1" applyAlignment="1">
      <alignment horizontal="left" wrapText="1"/>
    </xf>
    <xf numFmtId="0" fontId="24" fillId="0" borderId="0" xfId="0" applyFont="1" applyAlignment="1">
      <alignment horizontal="center"/>
    </xf>
    <xf numFmtId="167" fontId="28" fillId="0" borderId="0" xfId="0" applyNumberFormat="1" applyFont="1" applyFill="1"/>
    <xf numFmtId="165" fontId="27" fillId="0" borderId="0" xfId="2" applyNumberFormat="1" applyFont="1" applyFill="1"/>
    <xf numFmtId="41" fontId="41" fillId="37" borderId="0" xfId="0" applyNumberFormat="1" applyFont="1" applyFill="1"/>
    <xf numFmtId="41" fontId="26" fillId="37" borderId="0" xfId="0" applyNumberFormat="1" applyFont="1" applyFill="1"/>
    <xf numFmtId="0" fontId="21" fillId="0" borderId="13" xfId="0" applyFont="1" applyBorder="1"/>
    <xf numFmtId="0" fontId="21" fillId="0" borderId="2" xfId="0" applyFont="1" applyBorder="1"/>
    <xf numFmtId="9" fontId="21" fillId="0" borderId="14" xfId="0" applyNumberFormat="1" applyFont="1" applyBorder="1" applyProtection="1">
      <protection locked="0"/>
    </xf>
    <xf numFmtId="0" fontId="21" fillId="0" borderId="23" xfId="0" applyFont="1" applyBorder="1"/>
    <xf numFmtId="0" fontId="21" fillId="0" borderId="0" xfId="0" applyFont="1" applyBorder="1"/>
    <xf numFmtId="41" fontId="21" fillId="0" borderId="24" xfId="1" applyNumberFormat="1" applyFont="1" applyBorder="1" applyProtection="1"/>
    <xf numFmtId="41" fontId="26" fillId="0" borderId="24" xfId="0" applyNumberFormat="1" applyFont="1" applyBorder="1"/>
    <xf numFmtId="0" fontId="21" fillId="0" borderId="12" xfId="0" applyFont="1" applyBorder="1"/>
    <xf numFmtId="0" fontId="21" fillId="0" borderId="1" xfId="0" applyFont="1" applyBorder="1"/>
    <xf numFmtId="41" fontId="26" fillId="0" borderId="15" xfId="0" applyNumberFormat="1" applyFont="1" applyBorder="1"/>
    <xf numFmtId="0" fontId="21" fillId="0" borderId="0" xfId="0" applyNumberFormat="1" applyFont="1"/>
    <xf numFmtId="0" fontId="21" fillId="36" borderId="1" xfId="0" applyFont="1" applyFill="1" applyBorder="1" applyAlignment="1">
      <alignment horizontal="left"/>
    </xf>
    <xf numFmtId="0" fontId="21" fillId="0" borderId="2" xfId="0" applyFont="1" applyBorder="1" applyAlignment="1">
      <alignment horizontal="left" wrapText="1"/>
    </xf>
    <xf numFmtId="0" fontId="21" fillId="0" borderId="0" xfId="0" applyFont="1" applyAlignment="1">
      <alignment horizontal="left" wrapText="1"/>
    </xf>
    <xf numFmtId="0" fontId="24" fillId="0" borderId="1" xfId="0" applyFont="1" applyBorder="1" applyAlignment="1">
      <alignment horizontal="center"/>
    </xf>
    <xf numFmtId="0" fontId="24" fillId="0" borderId="0" xfId="0" applyFont="1" applyAlignment="1">
      <alignment horizontal="center"/>
    </xf>
    <xf numFmtId="0" fontId="24" fillId="0" borderId="1" xfId="0" applyFont="1" applyFill="1" applyBorder="1" applyAlignment="1">
      <alignment horizontal="center"/>
    </xf>
    <xf numFmtId="43" fontId="24" fillId="0" borderId="1" xfId="1" applyFont="1" applyBorder="1" applyAlignment="1">
      <alignment horizontal="center"/>
    </xf>
  </cellXfs>
  <cellStyles count="304">
    <cellStyle name="Accent1 - 20%" xfId="7"/>
    <cellStyle name="Accent1 - 40%" xfId="8"/>
    <cellStyle name="Accent1 - 60%" xfId="9"/>
    <cellStyle name="Accent1 2" xfId="6"/>
    <cellStyle name="Accent1 3" xfId="33"/>
    <cellStyle name="Accent1 4" xfId="56"/>
    <cellStyle name="Accent2 - 20%" xfId="11"/>
    <cellStyle name="Accent2 - 40%" xfId="12"/>
    <cellStyle name="Accent2 - 60%" xfId="13"/>
    <cellStyle name="Accent2 2" xfId="10"/>
    <cellStyle name="Accent2 3" xfId="50"/>
    <cellStyle name="Accent2 4" xfId="57"/>
    <cellStyle name="Accent3 - 20%" xfId="15"/>
    <cellStyle name="Accent3 - 40%" xfId="16"/>
    <cellStyle name="Accent3 - 60%" xfId="17"/>
    <cellStyle name="Accent3 2" xfId="14"/>
    <cellStyle name="Accent3 3" xfId="51"/>
    <cellStyle name="Accent3 4" xfId="58"/>
    <cellStyle name="Accent4 - 20%" xfId="19"/>
    <cellStyle name="Accent4 - 40%" xfId="20"/>
    <cellStyle name="Accent4 - 60%" xfId="21"/>
    <cellStyle name="Accent4 2" xfId="18"/>
    <cellStyle name="Accent4 3" xfId="52"/>
    <cellStyle name="Accent4 4" xfId="59"/>
    <cellStyle name="Accent5 - 20%" xfId="23"/>
    <cellStyle name="Accent5 - 40%" xfId="24"/>
    <cellStyle name="Accent5 - 60%" xfId="25"/>
    <cellStyle name="Accent5 2" xfId="22"/>
    <cellStyle name="Accent5 3" xfId="53"/>
    <cellStyle name="Accent5 4" xfId="60"/>
    <cellStyle name="Accent6 - 20%" xfId="27"/>
    <cellStyle name="Accent6 - 40%" xfId="28"/>
    <cellStyle name="Accent6 - 60%" xfId="29"/>
    <cellStyle name="Accent6 2" xfId="26"/>
    <cellStyle name="Accent6 3" xfId="54"/>
    <cellStyle name="Accent6 4" xfId="61"/>
    <cellStyle name="Bad 2" xfId="30"/>
    <cellStyle name="Calculation 2" xfId="31"/>
    <cellStyle name="Check Cell 2" xfId="32"/>
    <cellStyle name="Comma" xfId="1" builtinId="3"/>
    <cellStyle name="Comma 2" xfId="3"/>
    <cellStyle name="Comma 2 2" xfId="179"/>
    <cellStyle name="Currency" xfId="55" builtinId="4"/>
    <cellStyle name="Emphasis 1" xfId="34"/>
    <cellStyle name="Emphasis 2" xfId="35"/>
    <cellStyle name="Emphasis 3" xfId="36"/>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Good 2" xfId="37"/>
    <cellStyle name="Heading 1 2" xfId="38"/>
    <cellStyle name="Heading 2 2" xfId="39"/>
    <cellStyle name="Heading 3 2" xfId="40"/>
    <cellStyle name="Heading 4 2" xfId="4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Input 2" xfId="42"/>
    <cellStyle name="Linked Cell 2" xfId="43"/>
    <cellStyle name="Neutral 2" xfId="44"/>
    <cellStyle name="Normal" xfId="0" builtinId="0"/>
    <cellStyle name="Normal 2" xfId="5"/>
    <cellStyle name="Normal 2 2" xfId="181"/>
    <cellStyle name="Normal 3" xfId="62"/>
    <cellStyle name="Normal 4" xfId="303"/>
    <cellStyle name="Note 2" xfId="45"/>
    <cellStyle name="Note 2 2" xfId="182"/>
    <cellStyle name="Output 2" xfId="46"/>
    <cellStyle name="Percent" xfId="2" builtinId="5"/>
    <cellStyle name="Percent 2" xfId="4"/>
    <cellStyle name="Percent 2 2" xfId="180"/>
    <cellStyle name="Sheet Title" xfId="47"/>
    <cellStyle name="Total 2" xfId="48"/>
    <cellStyle name="Warning Text 2" xfId="49"/>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Revenue Trends</a:t>
            </a:r>
          </a:p>
        </c:rich>
      </c:tx>
      <c:overlay val="1"/>
    </c:title>
    <c:plotArea>
      <c:layout>
        <c:manualLayout>
          <c:layoutTarget val="inner"/>
          <c:xMode val="edge"/>
          <c:yMode val="edge"/>
          <c:x val="9.0289176537966989E-2"/>
          <c:y val="5.8280943228553095E-2"/>
          <c:w val="0.90228278304226261"/>
          <c:h val="0.69997809328952021"/>
        </c:manualLayout>
      </c:layout>
      <c:lineChart>
        <c:grouping val="standard"/>
        <c:ser>
          <c:idx val="1"/>
          <c:order val="0"/>
          <c:tx>
            <c:strRef>
              <c:f>Summary!$B$8</c:f>
              <c:strCache>
                <c:ptCount val="1"/>
                <c:pt idx="0">
                  <c:v>Budgeted offering revenue</c:v>
                </c:pt>
              </c:strCache>
            </c:strRef>
          </c:tx>
          <c:marker>
            <c:symbol val="none"/>
          </c:marker>
          <c:cat>
            <c:numRef>
              <c:f>Summary!$H$6:$P$6</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Summary!$H$8:$P$8</c:f>
              <c:numCache>
                <c:formatCode>_(* #,##0_);_(* \(#,##0\);_(* "-"??_);_(@_)</c:formatCode>
                <c:ptCount val="9"/>
                <c:pt idx="0">
                  <c:v>330384.90000000002</c:v>
                </c:pt>
                <c:pt idx="1">
                  <c:v>750000</c:v>
                </c:pt>
                <c:pt idx="2">
                  <c:v>980769.23076923075</c:v>
                </c:pt>
                <c:pt idx="3" formatCode="_(* #,##0_);_(* \(#,##0\);_(* &quot;-&quot;_);_(@_)">
                  <c:v>1096153.8461538462</c:v>
                </c:pt>
                <c:pt idx="4" formatCode="_(* #,##0_);_(* \(#,##0\);_(* &quot;-&quot;_);_(@_)">
                  <c:v>1153846.1538461538</c:v>
                </c:pt>
                <c:pt idx="5" formatCode="_(* #,##0_);_(* \(#,##0\);_(* &quot;-&quot;_);_(@_)">
                  <c:v>1153846.1538461538</c:v>
                </c:pt>
                <c:pt idx="6" formatCode="_(* #,##0_);_(* \(#,##0\);_(* &quot;-&quot;_);_(@_)">
                  <c:v>1384615.3846153845</c:v>
                </c:pt>
                <c:pt idx="7" formatCode="_(* #,##0_);_(* \(#,##0\);_(* &quot;-&quot;_);_(@_)">
                  <c:v>1730769.2307692308</c:v>
                </c:pt>
                <c:pt idx="8">
                  <c:v>1846153.8461538462</c:v>
                </c:pt>
              </c:numCache>
            </c:numRef>
          </c:val>
        </c:ser>
        <c:ser>
          <c:idx val="2"/>
          <c:order val="1"/>
          <c:tx>
            <c:strRef>
              <c:f>Summary!$B$11</c:f>
              <c:strCache>
                <c:ptCount val="1"/>
                <c:pt idx="0">
                  <c:v>Offering revenue</c:v>
                </c:pt>
              </c:strCache>
            </c:strRef>
          </c:tx>
          <c:marker>
            <c:symbol val="none"/>
          </c:marker>
          <c:cat>
            <c:numRef>
              <c:f>Summary!$H$6:$P$6</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Summary!$H$11:$P$11</c:f>
              <c:numCache>
                <c:formatCode>_(* #,##0_);_(* \(#,##0\);_(* "-"_);_(@_)</c:formatCode>
                <c:ptCount val="9"/>
                <c:pt idx="0">
                  <c:v>335881.63269230764</c:v>
                </c:pt>
                <c:pt idx="1">
                  <c:v>736000</c:v>
                </c:pt>
                <c:pt idx="2">
                  <c:v>880528.08000000019</c:v>
                </c:pt>
                <c:pt idx="3">
                  <c:v>950000</c:v>
                </c:pt>
                <c:pt idx="4">
                  <c:v>1091875.06</c:v>
                </c:pt>
                <c:pt idx="5">
                  <c:v>1145354.9699999997</c:v>
                </c:pt>
                <c:pt idx="6">
                  <c:v>1381837.78</c:v>
                </c:pt>
                <c:pt idx="7">
                  <c:v>1530000</c:v>
                </c:pt>
                <c:pt idx="8">
                  <c:v>1658991</c:v>
                </c:pt>
              </c:numCache>
            </c:numRef>
          </c:val>
        </c:ser>
        <c:ser>
          <c:idx val="3"/>
          <c:order val="2"/>
          <c:tx>
            <c:strRef>
              <c:f>Summary!$B$17</c:f>
              <c:strCache>
                <c:ptCount val="1"/>
                <c:pt idx="0">
                  <c:v>Total congregant revenue</c:v>
                </c:pt>
              </c:strCache>
            </c:strRef>
          </c:tx>
          <c:marker>
            <c:symbol val="none"/>
          </c:marker>
          <c:cat>
            <c:numRef>
              <c:f>Summary!$H$6:$P$6</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Summary!$H$17:$P$17</c:f>
              <c:numCache>
                <c:formatCode>_(* #,##0_);_(* \(#,##0\);_(* "-"_);_(@_)</c:formatCode>
                <c:ptCount val="9"/>
                <c:pt idx="0">
                  <c:v>430490.38846153847</c:v>
                </c:pt>
                <c:pt idx="1">
                  <c:v>831000</c:v>
                </c:pt>
                <c:pt idx="2">
                  <c:v>966528.08000000019</c:v>
                </c:pt>
                <c:pt idx="3">
                  <c:v>1900000</c:v>
                </c:pt>
                <c:pt idx="4">
                  <c:v>1297875.06</c:v>
                </c:pt>
                <c:pt idx="5">
                  <c:v>1347354.9699999997</c:v>
                </c:pt>
                <c:pt idx="6">
                  <c:v>1477837.78</c:v>
                </c:pt>
                <c:pt idx="7">
                  <c:v>1724000</c:v>
                </c:pt>
                <c:pt idx="8">
                  <c:v>1709991</c:v>
                </c:pt>
              </c:numCache>
            </c:numRef>
          </c:val>
        </c:ser>
        <c:dLbls/>
        <c:marker val="1"/>
        <c:axId val="174864256"/>
        <c:axId val="174865792"/>
      </c:lineChart>
      <c:catAx>
        <c:axId val="174864256"/>
        <c:scaling>
          <c:orientation val="minMax"/>
        </c:scaling>
        <c:axPos val="b"/>
        <c:numFmt formatCode="General" sourceLinked="1"/>
        <c:tickLblPos val="nextTo"/>
        <c:crossAx val="174865792"/>
        <c:crosses val="autoZero"/>
        <c:auto val="1"/>
        <c:lblAlgn val="ctr"/>
        <c:lblOffset val="100"/>
      </c:catAx>
      <c:valAx>
        <c:axId val="174865792"/>
        <c:scaling>
          <c:orientation val="minMax"/>
        </c:scaling>
        <c:axPos val="l"/>
        <c:majorGridlines/>
        <c:numFmt formatCode="_(* #,##0_);_(* \(#,##0\);_(* &quot;-&quot;??_);_(@_)" sourceLinked="1"/>
        <c:tickLblPos val="nextTo"/>
        <c:crossAx val="174864256"/>
        <c:crosses val="autoZero"/>
        <c:crossBetween val="between"/>
      </c:valAx>
    </c:plotArea>
    <c:legend>
      <c:legendPos val="b"/>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Budget &amp; Revenue Per Attendee</a:t>
            </a:r>
          </a:p>
        </c:rich>
      </c:tx>
      <c:overlay val="1"/>
    </c:title>
    <c:plotArea>
      <c:layout>
        <c:manualLayout>
          <c:layoutTarget val="inner"/>
          <c:xMode val="edge"/>
          <c:yMode val="edge"/>
          <c:x val="6.7088576544754294E-2"/>
          <c:y val="5.5031076505771402E-2"/>
          <c:w val="0.93291142345524602"/>
          <c:h val="0.72662119837250916"/>
        </c:manualLayout>
      </c:layout>
      <c:lineChart>
        <c:grouping val="standard"/>
        <c:ser>
          <c:idx val="0"/>
          <c:order val="0"/>
          <c:tx>
            <c:strRef>
              <c:f>Summary!$B$25</c:f>
              <c:strCache>
                <c:ptCount val="1"/>
                <c:pt idx="0">
                  <c:v>Budget / attendance</c:v>
                </c:pt>
              </c:strCache>
            </c:strRef>
          </c:tx>
          <c:marker>
            <c:symbol val="none"/>
          </c:marker>
          <c:cat>
            <c:numRef>
              <c:f>Summary!$I$6:$P$6</c:f>
              <c:numCache>
                <c:formatCode>General</c:formatCode>
                <c:ptCount val="8"/>
                <c:pt idx="0">
                  <c:v>2005</c:v>
                </c:pt>
                <c:pt idx="1">
                  <c:v>2006</c:v>
                </c:pt>
                <c:pt idx="2">
                  <c:v>2007</c:v>
                </c:pt>
                <c:pt idx="3">
                  <c:v>2008</c:v>
                </c:pt>
                <c:pt idx="4">
                  <c:v>2009</c:v>
                </c:pt>
                <c:pt idx="5">
                  <c:v>2010</c:v>
                </c:pt>
                <c:pt idx="6">
                  <c:v>2011</c:v>
                </c:pt>
                <c:pt idx="7">
                  <c:v>2012</c:v>
                </c:pt>
              </c:numCache>
            </c:numRef>
          </c:cat>
          <c:val>
            <c:numRef>
              <c:f>Summary!$I$25:$P$25</c:f>
              <c:numCache>
                <c:formatCode>_(* #,##0_);_(* \(#,##0\);_(* "-"_);_(@_)</c:formatCode>
                <c:ptCount val="8"/>
                <c:pt idx="0">
                  <c:v>370.2362930296847</c:v>
                </c:pt>
                <c:pt idx="1">
                  <c:v>470.95007559826053</c:v>
                </c:pt>
                <c:pt idx="2">
                  <c:v>1075.7152562844419</c:v>
                </c:pt>
                <c:pt idx="3">
                  <c:v>725.08137024266057</c:v>
                </c:pt>
                <c:pt idx="4">
                  <c:v>817.86656779568602</c:v>
                </c:pt>
                <c:pt idx="5">
                  <c:v>601.2137838280172</c:v>
                </c:pt>
                <c:pt idx="6">
                  <c:v>1126.0209256392463</c:v>
                </c:pt>
                <c:pt idx="7">
                  <c:v>1106.718395504264</c:v>
                </c:pt>
              </c:numCache>
            </c:numRef>
          </c:val>
        </c:ser>
        <c:ser>
          <c:idx val="1"/>
          <c:order val="1"/>
          <c:tx>
            <c:strRef>
              <c:f>Summary!$B$26</c:f>
              <c:strCache>
                <c:ptCount val="1"/>
                <c:pt idx="0">
                  <c:v>Offering / attendance</c:v>
                </c:pt>
              </c:strCache>
            </c:strRef>
          </c:tx>
          <c:marker>
            <c:symbol val="none"/>
          </c:marker>
          <c:cat>
            <c:numRef>
              <c:f>Summary!$I$6:$P$6</c:f>
              <c:numCache>
                <c:formatCode>General</c:formatCode>
                <c:ptCount val="8"/>
                <c:pt idx="0">
                  <c:v>2005</c:v>
                </c:pt>
                <c:pt idx="1">
                  <c:v>2006</c:v>
                </c:pt>
                <c:pt idx="2">
                  <c:v>2007</c:v>
                </c:pt>
                <c:pt idx="3">
                  <c:v>2008</c:v>
                </c:pt>
                <c:pt idx="4">
                  <c:v>2009</c:v>
                </c:pt>
                <c:pt idx="5">
                  <c:v>2010</c:v>
                </c:pt>
                <c:pt idx="6">
                  <c:v>2011</c:v>
                </c:pt>
                <c:pt idx="7">
                  <c:v>2012</c:v>
                </c:pt>
              </c:numCache>
            </c:numRef>
          </c:cat>
          <c:val>
            <c:numRef>
              <c:f>Summary!$I$26:$P$26</c:f>
              <c:numCache>
                <c:formatCode>_(* #,##0_);_(* \(#,##0\);_(* "-"_);_(@_)</c:formatCode>
                <c:ptCount val="8"/>
                <c:pt idx="0">
                  <c:v>363.3252155597973</c:v>
                </c:pt>
                <c:pt idx="1">
                  <c:v>422.81583968243814</c:v>
                </c:pt>
                <c:pt idx="2">
                  <c:v>932.28655544651622</c:v>
                </c:pt>
                <c:pt idx="3">
                  <c:v>686.13849602010896</c:v>
                </c:pt>
                <c:pt idx="4">
                  <c:v>811.84786645874669</c:v>
                </c:pt>
                <c:pt idx="5">
                  <c:v>600.00772025299966</c:v>
                </c:pt>
                <c:pt idx="6">
                  <c:v>995.40249826509375</c:v>
                </c:pt>
                <c:pt idx="7">
                  <c:v>994.51942290784109</c:v>
                </c:pt>
              </c:numCache>
            </c:numRef>
          </c:val>
        </c:ser>
        <c:ser>
          <c:idx val="2"/>
          <c:order val="2"/>
          <c:tx>
            <c:strRef>
              <c:f>Summary!$B$27</c:f>
              <c:strCache>
                <c:ptCount val="1"/>
                <c:pt idx="0">
                  <c:v>Total revenue / attendance</c:v>
                </c:pt>
              </c:strCache>
            </c:strRef>
          </c:tx>
          <c:marker>
            <c:symbol val="none"/>
          </c:marker>
          <c:cat>
            <c:numRef>
              <c:f>Summary!$I$6:$P$6</c:f>
              <c:numCache>
                <c:formatCode>General</c:formatCode>
                <c:ptCount val="8"/>
                <c:pt idx="0">
                  <c:v>2005</c:v>
                </c:pt>
                <c:pt idx="1">
                  <c:v>2006</c:v>
                </c:pt>
                <c:pt idx="2">
                  <c:v>2007</c:v>
                </c:pt>
                <c:pt idx="3">
                  <c:v>2008</c:v>
                </c:pt>
                <c:pt idx="4">
                  <c:v>2009</c:v>
                </c:pt>
                <c:pt idx="5">
                  <c:v>2010</c:v>
                </c:pt>
                <c:pt idx="6">
                  <c:v>2011</c:v>
                </c:pt>
                <c:pt idx="7">
                  <c:v>2012</c:v>
                </c:pt>
              </c:numCache>
            </c:numRef>
          </c:cat>
          <c:val>
            <c:numRef>
              <c:f>Summary!$I$27:$P$27</c:f>
              <c:numCache>
                <c:formatCode>_(* #,##0_);_(* \(#,##0\);_(* "-"_);_(@_)</c:formatCode>
                <c:ptCount val="8"/>
                <c:pt idx="0">
                  <c:v>410.22181267689069</c:v>
                </c:pt>
                <c:pt idx="1">
                  <c:v>464.11169729176015</c:v>
                </c:pt>
                <c:pt idx="2">
                  <c:v>1864.5731108930324</c:v>
                </c:pt>
                <c:pt idx="3">
                  <c:v>815.58968998743205</c:v>
                </c:pt>
                <c:pt idx="4">
                  <c:v>955.02904026084479</c:v>
                </c:pt>
                <c:pt idx="5">
                  <c:v>641.69187593174217</c:v>
                </c:pt>
                <c:pt idx="6">
                  <c:v>1121.616932685635</c:v>
                </c:pt>
                <c:pt idx="7">
                  <c:v>1025.0925185836463</c:v>
                </c:pt>
              </c:numCache>
            </c:numRef>
          </c:val>
        </c:ser>
        <c:dLbls/>
        <c:marker val="1"/>
        <c:axId val="54855552"/>
        <c:axId val="54857088"/>
      </c:lineChart>
      <c:catAx>
        <c:axId val="54855552"/>
        <c:scaling>
          <c:orientation val="minMax"/>
        </c:scaling>
        <c:axPos val="b"/>
        <c:numFmt formatCode="General" sourceLinked="1"/>
        <c:tickLblPos val="nextTo"/>
        <c:crossAx val="54857088"/>
        <c:crosses val="autoZero"/>
        <c:auto val="1"/>
        <c:lblAlgn val="ctr"/>
        <c:lblOffset val="100"/>
      </c:catAx>
      <c:valAx>
        <c:axId val="54857088"/>
        <c:scaling>
          <c:orientation val="minMax"/>
        </c:scaling>
        <c:axPos val="l"/>
        <c:majorGridlines/>
        <c:numFmt formatCode="_(* #,##0_);_(* \(#,##0\);_(* &quot;-&quot;_);_(@_)" sourceLinked="1"/>
        <c:tickLblPos val="nextTo"/>
        <c:crossAx val="54855552"/>
        <c:crosses val="autoZero"/>
        <c:crossBetween val="between"/>
      </c:valAx>
    </c:plotArea>
    <c:legend>
      <c:legendPos val="b"/>
    </c:legend>
    <c:plotVisOnly val="1"/>
    <c:dispBlanksAs val="gap"/>
  </c:chart>
  <c:printSettings>
    <c:headerFooter/>
    <c:pageMargins b="0.75000000000000011" l="0.70000000000000007" r="0.70000000000000007" t="0.75000000000000011" header="0.30000000000000004" footer="0.30000000000000004"/>
    <c:pageSetup orientation="landscape" verticalDpi="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152398</xdr:rowOff>
    </xdr:from>
    <xdr:to>
      <xdr:col>10</xdr:col>
      <xdr:colOff>523875</xdr:colOff>
      <xdr:row>111</xdr:row>
      <xdr:rowOff>89647</xdr:rowOff>
    </xdr:to>
    <xdr:sp macro="" textlink="">
      <xdr:nvSpPr>
        <xdr:cNvPr id="2" name="TextBox 1"/>
        <xdr:cNvSpPr txBox="1"/>
      </xdr:nvSpPr>
      <xdr:spPr>
        <a:xfrm>
          <a:off x="547407" y="152398"/>
          <a:ext cx="5355292" cy="1735119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Non-profit</a:t>
          </a:r>
          <a:r>
            <a:rPr lang="en-US" sz="1600" b="1" baseline="0"/>
            <a:t> Forecasting Model</a:t>
          </a:r>
        </a:p>
        <a:p>
          <a:pPr algn="l"/>
          <a:endParaRPr lang="en-US" sz="1600" b="1" baseline="0"/>
        </a:p>
        <a:p>
          <a:pPr algn="l"/>
          <a:r>
            <a:rPr lang="en-US" sz="1100" b="1" baseline="0"/>
            <a:t>INTRODUCTION</a:t>
          </a:r>
        </a:p>
        <a:p>
          <a:pPr algn="l"/>
          <a:r>
            <a:rPr lang="en-US" sz="1100" b="0" baseline="0"/>
            <a:t>For further study of regression analysis, please see: http://www.investopedia.com/articles/financial-theory/09/regression-analysis-basics-business.asp  (copy and paste if necessary)</a:t>
          </a:r>
        </a:p>
        <a:p>
          <a:pPr algn="l"/>
          <a:endParaRPr lang="en-US" sz="1100" b="0" baseline="0"/>
        </a:p>
        <a:p>
          <a:pPr algn="l"/>
          <a:r>
            <a:rPr lang="en-US" sz="1100" b="0" baseline="0"/>
            <a:t>This will provide a basic foundation for how Regression Analysis. Although the mathematics are explained in the link, do not focus on it unless you enjoy and understand statistics. Review the concepts and practical application of it instead.</a:t>
          </a:r>
        </a:p>
        <a:p>
          <a:pPr algn="l"/>
          <a:endParaRPr lang="en-US" sz="1100" b="0" baseline="0"/>
        </a:p>
        <a:p>
          <a:pPr algn="l"/>
          <a:r>
            <a:rPr lang="en-US" sz="1100" b="0" u="sng" baseline="0"/>
            <a:t>Color coding notes:</a:t>
          </a:r>
        </a:p>
        <a:p>
          <a:pPr algn="l"/>
          <a:r>
            <a:rPr lang="en-US" sz="1100" b="0" baseline="0"/>
            <a:t>Green font cells are pulling data from another tab.</a:t>
          </a:r>
        </a:p>
        <a:p>
          <a:pPr algn="l"/>
          <a:r>
            <a:rPr lang="en-US" sz="1100" b="0" baseline="0"/>
            <a:t>Blue font cells are input cells. These are the ones you modify.</a:t>
          </a:r>
        </a:p>
        <a:p>
          <a:pPr algn="l"/>
          <a:r>
            <a:rPr lang="en-US" sz="1100" b="0" baseline="0"/>
            <a:t>Black font cells (other than words, such as this) are calculations.</a:t>
          </a:r>
        </a:p>
        <a:p>
          <a:pPr algn="l"/>
          <a:endParaRPr lang="en-US" sz="1100" b="0" baseline="0"/>
        </a:p>
        <a:p>
          <a:pPr algn="l"/>
          <a:r>
            <a:rPr lang="en-US" sz="1100" b="1" baseline="0"/>
            <a:t>EXPLANATION OF USAGE</a:t>
          </a:r>
        </a:p>
        <a:p>
          <a:pPr algn="l"/>
          <a:r>
            <a:rPr lang="en-US" sz="1100" b="0" baseline="0"/>
            <a:t>With this model, we will be using a matrix of annual data. Since we are forecasting for a church, built in to this model is a weekly approach, rather than monthly. It is best to use five (5) years worth of data, if possible, so as to provide a longer period for analysis. Another assumption is that we will be using attendance as a driver, rather than giving units. I suppose you could simply add in the number of giving units rather than attendance to use for the same purpose.</a:t>
          </a:r>
        </a:p>
        <a:p>
          <a:pPr algn="l"/>
          <a:endParaRPr lang="en-US" sz="1100" b="0" baseline="0"/>
        </a:p>
        <a:p>
          <a:pPr algn="l"/>
          <a:r>
            <a:rPr lang="en-US" sz="1100" b="0" baseline="0"/>
            <a:t>For the purpose of analyzing the trends, we set up this sheet with the most important tabs starting at the left. However, for building and learning the model, we have set up the instructions to start with the right-most tab and work toward the left.</a:t>
          </a:r>
        </a:p>
        <a:p>
          <a:pPr algn="l"/>
          <a:endParaRPr lang="en-US" sz="1100" b="0" baseline="0"/>
        </a:p>
        <a:p>
          <a:pPr algn="l"/>
          <a:r>
            <a:rPr lang="en-US" sz="1100" b="1" baseline="0"/>
            <a:t>SOURCE DATA</a:t>
          </a:r>
          <a:endParaRPr lang="en-US" sz="1100" b="0" baseline="0"/>
        </a:p>
        <a:p>
          <a:pPr algn="l"/>
          <a:r>
            <a:rPr lang="en-US" sz="1100" b="0" baseline="0"/>
            <a:t>On this tab we are inputting all the data for the past several years. For tracking purposes, we include the data of each Sunday, general offering, and two special activities (i.e., building campaign), and attendance. We then calculate giving per attendee for these categories. These will flow through to the 'Attendee giving analysis' tab.</a:t>
          </a:r>
        </a:p>
        <a:p>
          <a:pPr algn="l"/>
          <a:endParaRPr lang="en-US" sz="1100" b="0" baseline="0"/>
        </a:p>
        <a:p>
          <a:pPr algn="l"/>
          <a:r>
            <a:rPr lang="en-US" sz="1100" b="0" baseline="0"/>
            <a:t>The purpose of separating general giving from other funds is to help provide an understanding of what to expect in the future for these funds and the maximum and minimum to expect if these funds should ever be dissolved.</a:t>
          </a:r>
        </a:p>
        <a:p>
          <a:pPr algn="l"/>
          <a:endParaRPr lang="en-US" sz="1100" b="0" baseline="0"/>
        </a:p>
        <a:p>
          <a:pPr algn="l"/>
          <a:r>
            <a:rPr lang="en-US" sz="1100" b="1" baseline="0"/>
            <a:t>ATTENDEE GIVING ANALYSIS</a:t>
          </a:r>
          <a:endParaRPr lang="en-US" sz="1100" b="0" baseline="0"/>
        </a:p>
        <a:p>
          <a:pPr algn="l"/>
          <a:r>
            <a:rPr lang="en-US" sz="1100" b="0" baseline="0"/>
            <a:t>The data here pulls from the 'Source data' tab. Also included are various analysis calculations.</a:t>
          </a:r>
        </a:p>
        <a:p>
          <a:pPr algn="l"/>
          <a:endParaRPr lang="en-US" sz="1100" b="0" baseline="0"/>
        </a:p>
        <a:p>
          <a:r>
            <a:rPr lang="en-US" sz="1100" b="1" baseline="0">
              <a:solidFill>
                <a:schemeClr val="dk1"/>
              </a:solidFill>
              <a:effectLst/>
              <a:latin typeface="+mn-lt"/>
              <a:ea typeface="+mn-ea"/>
              <a:cs typeface="+mn-cs"/>
            </a:rPr>
            <a:t>ATTENDEE ANALYSIS</a:t>
          </a:r>
          <a:endParaRPr lang="en-US">
            <a:effectLst/>
          </a:endParaRPr>
        </a:p>
        <a:p>
          <a:r>
            <a:rPr lang="en-US" sz="1100" b="0" baseline="0">
              <a:solidFill>
                <a:schemeClr val="dk1"/>
              </a:solidFill>
              <a:effectLst/>
              <a:latin typeface="+mn-lt"/>
              <a:ea typeface="+mn-ea"/>
              <a:cs typeface="+mn-cs"/>
            </a:rPr>
            <a:t>The data here pulls from the 'Source data' tab. Also included are various analysis calculations.</a:t>
          </a:r>
          <a:endParaRPr lang="en-US">
            <a:effectLst/>
          </a:endParaRPr>
        </a:p>
        <a:p>
          <a:pPr algn="l"/>
          <a:endParaRPr lang="en-US" sz="1100" b="0" baseline="0"/>
        </a:p>
        <a:p>
          <a:r>
            <a:rPr lang="en-US" sz="1100" b="1" baseline="0">
              <a:solidFill>
                <a:schemeClr val="dk1"/>
              </a:solidFill>
              <a:effectLst/>
              <a:latin typeface="+mn-lt"/>
              <a:ea typeface="+mn-ea"/>
              <a:cs typeface="+mn-cs"/>
            </a:rPr>
            <a:t>REVENUE PROJECTIONS</a:t>
          </a:r>
          <a:endParaRPr lang="en-US">
            <a:effectLst/>
          </a:endParaRPr>
        </a:p>
        <a:p>
          <a:r>
            <a:rPr lang="en-US" sz="1100" b="0" baseline="0">
              <a:solidFill>
                <a:schemeClr val="dk1"/>
              </a:solidFill>
              <a:effectLst/>
              <a:latin typeface="+mn-lt"/>
              <a:ea typeface="+mn-ea"/>
              <a:cs typeface="+mn-cs"/>
            </a:rPr>
            <a:t>This part gets a little tricky. There are two "switches" called triggers. By using Excel's CHOOSE formula, we can independently change our projections for attendance and revenue per attendee so as to make comparisons . Since there is unrestricted revenue and total revenue (including those special funds), there are two separate projection models on this tab.</a:t>
          </a:r>
          <a:endParaRPr lang="en-US">
            <a:effectLst/>
          </a:endParaRPr>
        </a:p>
        <a:p>
          <a:pPr algn="l"/>
          <a:endParaRPr lang="en-US" sz="1100" b="0" baseline="0"/>
        </a:p>
        <a:p>
          <a:pPr algn="l"/>
          <a:r>
            <a:rPr lang="en-US" sz="1100" b="1" baseline="0"/>
            <a:t>OFFERING CALCS ANALYSIS</a:t>
          </a:r>
        </a:p>
        <a:p>
          <a:pPr algn="l"/>
          <a:r>
            <a:rPr lang="en-US" sz="1100" b="0" baseline="0"/>
            <a:t>This tab's objectives are two fold:</a:t>
          </a:r>
        </a:p>
        <a:p>
          <a:pPr algn="l"/>
          <a:r>
            <a:rPr lang="en-US" sz="1100" b="0" baseline="0"/>
            <a:t>1. On one screen, to compare the various potential outcomes to determine a reasonable forward projection.</a:t>
          </a:r>
        </a:p>
        <a:p>
          <a:pPr algn="l"/>
          <a:r>
            <a:rPr lang="en-US" sz="1100" b="0" baseline="0"/>
            <a:t>2. To perform the smell test by comparing it to historical amounts. and see the percentage increases for each year to determine if the projected amount seems attainable.</a:t>
          </a:r>
        </a:p>
        <a:p>
          <a:pPr algn="l"/>
          <a:endParaRPr lang="en-US" sz="1100" b="0" baseline="0"/>
        </a:p>
        <a:p>
          <a:pPr algn="l"/>
          <a:r>
            <a:rPr lang="en-US" sz="1100" b="0" baseline="0"/>
            <a:t>At the bottom of the screen, each user each year will have to manually input the amounts from the Revenue projection tab.</a:t>
          </a:r>
        </a:p>
        <a:p>
          <a:pPr algn="l"/>
          <a:endParaRPr lang="en-US" sz="1100" b="0" baseline="0"/>
        </a:p>
        <a:p>
          <a:pPr algn="l"/>
          <a:r>
            <a:rPr lang="en-US" sz="1100" b="1" baseline="0"/>
            <a:t>FORECAST TO ACTUAL</a:t>
          </a:r>
          <a:endParaRPr lang="en-US" sz="1100" b="0" baseline="0"/>
        </a:p>
        <a:p>
          <a:pPr algn="l"/>
          <a:r>
            <a:rPr lang="en-US" sz="1100" b="0" baseline="0"/>
            <a:t>This is the tab designed to compare the forecast to actual results, once they become available. Because the revenue projections is built upon the assumption that contributions are not made in equal payments by the same individuals equally spread throughout the year, but there are certain seasons and cycles which continue from one year to another, we have created the model so we can compare reasonable estimates to actual. For example, since December is a big month for a ll non-profit organizations, the model is designed to assume more revenue from that month as a reasonable belief. Conversely, having a budget split evenly into 52 weeks makes it difficult as some months will be wet or dry months, figuratively speaking.</a:t>
          </a:r>
        </a:p>
        <a:p>
          <a:pPr algn="l"/>
          <a:endParaRPr lang="en-US" sz="1100" b="0" baseline="0"/>
        </a:p>
        <a:p>
          <a:pPr algn="l"/>
          <a:r>
            <a:rPr lang="en-US" sz="1100" b="1" baseline="0"/>
            <a:t>SUMMARY</a:t>
          </a:r>
        </a:p>
        <a:p>
          <a:pPr algn="l"/>
          <a:r>
            <a:rPr lang="en-US" sz="1100" b="0" baseline="0"/>
            <a:t>To provide an overall, summarized schedule, we designed this schedule to help the reader analyze the current state of the church's revenue with historical and  Year-to-date (YTD) results. For example, we set up a line called "Offering-budget difference" to track the variances between the budget and offering levels YTD. This is helpful to know if the church has been positive or negative at whatever point in the year.</a:t>
          </a:r>
        </a:p>
        <a:p>
          <a:pPr algn="l"/>
          <a:endParaRPr lang="en-US" sz="1100" b="0" baseline="0"/>
        </a:p>
        <a:p>
          <a:pPr algn="l"/>
          <a:r>
            <a:rPr lang="en-US" sz="1100" b="0" baseline="0"/>
            <a:t>To the right of the summary, there is a box that allows the user to effectively select a different date of the year to see historical comparisons from the beginning of the year until then. For example, if we are at week 40 but we want to see where we were midyear on the Summary, we can change it to week "26" (it has to calculate in the number of weeks rather than a specific date) to analyze the revenues halfway through each year.</a:t>
          </a:r>
        </a:p>
        <a:p>
          <a:pPr algn="l"/>
          <a:endParaRPr lang="en-US" sz="1100" b="0" baseline="0"/>
        </a:p>
        <a:p>
          <a:pPr algn="l"/>
          <a:endParaRPr lang="en-US" sz="1100" b="0" baseline="0"/>
        </a:p>
        <a:p>
          <a:pPr algn="l"/>
          <a:endParaRPr lang="en-US" sz="1100" b="0" baseline="0"/>
        </a:p>
        <a:p>
          <a:pPr algn="l"/>
          <a:r>
            <a:rPr lang="en-US" sz="1100" b="1" baseline="0"/>
            <a:t>Contact info</a:t>
          </a:r>
        </a:p>
        <a:p>
          <a:pPr algn="l"/>
          <a:r>
            <a:rPr lang="en-US" sz="1100" b="0" baseline="0"/>
            <a:t>I realize this model is not perfect, if you have suggestions for clarifying, simplifying, making it more user-friendly, or extra bells and whistles that won't make it further complicated, then please send them to me! I would love to hear suggestions. jeffrey.d.beaumont@gmail.com. Conversely, you can find me on LinkedIn at: https://www.linkedin.com/in/jeffbeaumont</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152400</xdr:rowOff>
    </xdr:from>
    <xdr:to>
      <xdr:col>15</xdr:col>
      <xdr:colOff>700088</xdr:colOff>
      <xdr:row>47</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19049</xdr:rowOff>
    </xdr:from>
    <xdr:to>
      <xdr:col>15</xdr:col>
      <xdr:colOff>714375</xdr:colOff>
      <xdr:row>65</xdr:row>
      <xdr:rowOff>152399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M3" sqref="M3"/>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X87"/>
  <sheetViews>
    <sheetView zoomScale="90" zoomScaleNormal="90" workbookViewId="0">
      <selection activeCell="S22" sqref="S22"/>
    </sheetView>
  </sheetViews>
  <sheetFormatPr defaultColWidth="8.83203125" defaultRowHeight="12.75"/>
  <cols>
    <col min="1" max="1" width="2.83203125" style="1" customWidth="1"/>
    <col min="2" max="6" width="3.83203125" style="1" customWidth="1"/>
    <col min="7" max="7" width="8.83203125" style="1"/>
    <col min="8" max="17" width="11.83203125" style="1" customWidth="1"/>
    <col min="18" max="18" width="14.83203125" style="1" customWidth="1"/>
    <col min="19" max="19" width="11.83203125" style="1" customWidth="1"/>
    <col min="20" max="20" width="8.83203125" style="1"/>
    <col min="21" max="23" width="12.83203125" style="1" customWidth="1"/>
    <col min="24" max="16384" width="8.83203125" style="1"/>
  </cols>
  <sheetData>
    <row r="1" spans="1:24">
      <c r="A1" s="7" t="s">
        <v>350</v>
      </c>
    </row>
    <row r="2" spans="1:24">
      <c r="A2" s="7" t="s">
        <v>8</v>
      </c>
    </row>
    <row r="3" spans="1:24">
      <c r="A3" s="7" t="s">
        <v>319</v>
      </c>
    </row>
    <row r="4" spans="1:24">
      <c r="A4" s="8" t="s">
        <v>351</v>
      </c>
      <c r="P4" s="4"/>
      <c r="Q4" s="4" t="s">
        <v>6</v>
      </c>
      <c r="S4" s="4"/>
      <c r="U4" s="97" t="s">
        <v>311</v>
      </c>
      <c r="V4" s="98"/>
      <c r="W4" s="98"/>
      <c r="X4" s="99">
        <f>COUNTIF('Forecast to Actual'!N17:N68,"&gt;0")/52</f>
        <v>0.57692307692307687</v>
      </c>
    </row>
    <row r="5" spans="1:24">
      <c r="P5" s="4"/>
      <c r="Q5" s="4" t="s">
        <v>323</v>
      </c>
      <c r="S5" s="4"/>
      <c r="U5" s="100" t="s">
        <v>318</v>
      </c>
      <c r="V5" s="101"/>
      <c r="W5" s="101"/>
      <c r="X5" s="102">
        <f>CHOOSE(X6, COUNTIF('Forecast to Actual'!N17:N68,"&gt;0"),X7)</f>
        <v>30</v>
      </c>
    </row>
    <row r="6" spans="1:24">
      <c r="H6" s="5">
        <f t="shared" ref="H6:O6" si="0">I6-1</f>
        <v>2004</v>
      </c>
      <c r="I6" s="5">
        <f t="shared" si="0"/>
        <v>2005</v>
      </c>
      <c r="J6" s="5">
        <f t="shared" si="0"/>
        <v>2006</v>
      </c>
      <c r="K6" s="5">
        <f t="shared" si="0"/>
        <v>2007</v>
      </c>
      <c r="L6" s="5">
        <f t="shared" si="0"/>
        <v>2008</v>
      </c>
      <c r="M6" s="5">
        <f t="shared" si="0"/>
        <v>2009</v>
      </c>
      <c r="N6" s="5">
        <f t="shared" si="0"/>
        <v>2010</v>
      </c>
      <c r="O6" s="5">
        <f t="shared" si="0"/>
        <v>2011</v>
      </c>
      <c r="P6" s="5">
        <f>Q6-1</f>
        <v>2012</v>
      </c>
      <c r="Q6" s="89">
        <v>2013</v>
      </c>
      <c r="S6" s="5"/>
      <c r="U6" s="100" t="s">
        <v>320</v>
      </c>
      <c r="V6" s="101"/>
      <c r="W6" s="101"/>
      <c r="X6" s="103">
        <v>1</v>
      </c>
    </row>
    <row r="7" spans="1:24">
      <c r="U7" s="104"/>
      <c r="V7" s="105" t="s">
        <v>321</v>
      </c>
      <c r="W7" s="105"/>
      <c r="X7" s="106">
        <v>53</v>
      </c>
    </row>
    <row r="8" spans="1:24">
      <c r="B8" s="1" t="s">
        <v>292</v>
      </c>
      <c r="H8" s="68">
        <f>572667.16*RecentWeek/52</f>
        <v>330384.90000000002</v>
      </c>
      <c r="I8" s="68">
        <f>'Source data'!G68*RecentWeek/52</f>
        <v>750000</v>
      </c>
      <c r="J8" s="68">
        <f>'Source data'!U68*RecentWeek/52</f>
        <v>980769.23076923075</v>
      </c>
      <c r="K8" s="43">
        <f>'Source data'!AI68*RecentWeek/52</f>
        <v>1096153.8461538462</v>
      </c>
      <c r="L8" s="43">
        <f>'Source data'!AW68*RecentWeek/52</f>
        <v>1153846.1538461538</v>
      </c>
      <c r="M8" s="43">
        <f>'Source data'!BK68*RecentWeek/52</f>
        <v>1153846.1538461538</v>
      </c>
      <c r="N8" s="43">
        <f>'Source data'!BY68*RecentWeek/52</f>
        <v>1384615.3846153845</v>
      </c>
      <c r="O8" s="43">
        <f>'Source data'!CM68*RecentWeek/52</f>
        <v>1730769.2307692308</v>
      </c>
      <c r="P8" s="93">
        <f>'Source data'!DA68/52*RecentWeek</f>
        <v>1846153.8461538462</v>
      </c>
      <c r="Q8" s="68">
        <f>'Source data'!DO68/52*RecentWeek</f>
        <v>1961538.4615384615</v>
      </c>
    </row>
    <row r="9" spans="1:24">
      <c r="C9" s="2" t="s">
        <v>289</v>
      </c>
      <c r="D9" s="2"/>
      <c r="H9" s="6"/>
      <c r="I9" s="42">
        <f t="shared" ref="I9:O9" si="1">(I8-H8)/H8</f>
        <v>1.2700795345065707</v>
      </c>
      <c r="J9" s="42">
        <f t="shared" si="1"/>
        <v>0.30769230769230765</v>
      </c>
      <c r="K9" s="42">
        <f t="shared" si="1"/>
        <v>0.11764705882352952</v>
      </c>
      <c r="L9" s="42">
        <f t="shared" si="1"/>
        <v>5.2631578947368252E-2</v>
      </c>
      <c r="M9" s="42">
        <f t="shared" si="1"/>
        <v>0</v>
      </c>
      <c r="N9" s="42">
        <f t="shared" si="1"/>
        <v>0.2</v>
      </c>
      <c r="O9" s="42">
        <f t="shared" si="1"/>
        <v>0.25000000000000011</v>
      </c>
      <c r="P9" s="94">
        <f>(P8-O8)/O8</f>
        <v>6.6666666666666735E-2</v>
      </c>
      <c r="Q9" s="42">
        <f>(Q8-P8)/P8</f>
        <v>6.2499999999999931E-2</v>
      </c>
    </row>
    <row r="10" spans="1:24">
      <c r="P10" s="17"/>
    </row>
    <row r="11" spans="1:24">
      <c r="B11" s="1" t="s">
        <v>291</v>
      </c>
      <c r="H11" s="66">
        <f>582194.83*RecentWeek/52</f>
        <v>335881.63269230764</v>
      </c>
      <c r="I11" s="66">
        <f>SUMIF('Source data'!C8:C60,"&lt;=" &amp;RecentWeek,'Source data'!E8:E60)</f>
        <v>736000</v>
      </c>
      <c r="J11" s="66">
        <f>SUMIF('Source data'!Q8:Q60,"&lt;=" &amp;RecentWeek,'Source data'!S8:S60)</f>
        <v>880528.08000000019</v>
      </c>
      <c r="K11" s="66">
        <f>SUMIF('Source data'!AE8:AE60,"&lt;=" &amp;RecentWeek,'Source data'!AG8:AG60)</f>
        <v>950000</v>
      </c>
      <c r="L11" s="66">
        <f>SUMIF('Source data'!AS8:AS60,"&lt;=" &amp;RecentWeek,'Source data'!AU8:AU60)</f>
        <v>1091875.06</v>
      </c>
      <c r="M11" s="66">
        <f>SUMIF('Source data'!BG8:BG60,"&lt;=" &amp;RecentWeek,'Source data'!BI8:BI60)</f>
        <v>1145354.9699999997</v>
      </c>
      <c r="N11" s="66">
        <f>SUMIF('Source data'!BU8:BU60,"&lt;=" &amp;RecentWeek,'Source data'!BW8:BW60)</f>
        <v>1381837.78</v>
      </c>
      <c r="O11" s="66">
        <f>SUMIF('Source data'!CI8:CI60,"&lt;=" &amp;RecentWeek,'Source data'!CK8:CK60)</f>
        <v>1530000</v>
      </c>
      <c r="P11" s="66">
        <f>SUMIF('Source data'!CW8:CW60,"&lt;=" &amp;RecentWeek,'Source data'!CY8:CY60)</f>
        <v>1658991</v>
      </c>
      <c r="Q11" s="66">
        <f>SUMIF('Source data'!DK8:DK60,"&lt;=" &amp;RecentWeek,'Source data'!DM8:DM60)</f>
        <v>1986000</v>
      </c>
      <c r="S11" s="66"/>
      <c r="T11" s="17"/>
    </row>
    <row r="12" spans="1:24">
      <c r="C12" s="1" t="s">
        <v>290</v>
      </c>
      <c r="H12" s="67"/>
      <c r="I12" s="42">
        <f t="shared" ref="I12:Q12" si="2">(I11-H11)/H11</f>
        <v>1.191248131374395</v>
      </c>
      <c r="J12" s="42">
        <f t="shared" si="2"/>
        <v>0.19636967391304375</v>
      </c>
      <c r="K12" s="42">
        <f t="shared" si="2"/>
        <v>7.8898017653224406E-2</v>
      </c>
      <c r="L12" s="42">
        <f t="shared" si="2"/>
        <v>0.14934216842105269</v>
      </c>
      <c r="M12" s="42">
        <f t="shared" si="2"/>
        <v>4.8979880536880911E-2</v>
      </c>
      <c r="N12" s="42">
        <f t="shared" si="2"/>
        <v>0.20647119556306665</v>
      </c>
      <c r="O12" s="42">
        <f t="shared" si="2"/>
        <v>0.10722113850440532</v>
      </c>
      <c r="P12" s="94">
        <f t="shared" si="2"/>
        <v>8.4307843137254895E-2</v>
      </c>
      <c r="Q12" s="42">
        <f t="shared" si="2"/>
        <v>0.19711318506248679</v>
      </c>
      <c r="S12" s="42"/>
      <c r="T12" s="17"/>
    </row>
    <row r="13" spans="1:24">
      <c r="H13" s="17"/>
      <c r="P13" s="17"/>
      <c r="T13" s="17"/>
    </row>
    <row r="14" spans="1:24">
      <c r="B14" s="1" t="s">
        <v>324</v>
      </c>
      <c r="H14" s="66">
        <f>0*RecentWeek/52</f>
        <v>0</v>
      </c>
      <c r="I14" s="66">
        <f>'Source data'!G69*RecentWeek/52</f>
        <v>923076.92307692312</v>
      </c>
      <c r="J14" s="66">
        <f>'Source data'!U69*RecentWeek/52</f>
        <v>1269230.7692307692</v>
      </c>
      <c r="K14" s="66">
        <f>'Source data'!AI69*RecentWeek/52</f>
        <v>1298076.923076923</v>
      </c>
      <c r="L14" s="66">
        <f>'Source data'!AW69*RecentWeek/52</f>
        <v>1326923.076923077</v>
      </c>
      <c r="M14" s="66">
        <f>'Source data'!BK69*RecentWeek/52</f>
        <v>1355769.2307692308</v>
      </c>
      <c r="N14" s="66">
        <f>'Source data'!BY69*RecentWeek/52</f>
        <v>1557692.3076923077</v>
      </c>
      <c r="O14" s="66">
        <f>'Source data'!CM69*RecentWeek/52</f>
        <v>1759615.3846153845</v>
      </c>
      <c r="P14" s="66">
        <f>'Source data'!DA69*RecentWeek/52</f>
        <v>1875000</v>
      </c>
      <c r="Q14" s="93">
        <f>'Source data'!DO69*RecentWeek/52</f>
        <v>1990384.6153846155</v>
      </c>
      <c r="T14" s="17"/>
    </row>
    <row r="15" spans="1:24">
      <c r="H15" s="17"/>
      <c r="P15" s="94"/>
      <c r="Q15" s="42"/>
      <c r="T15" s="17"/>
    </row>
    <row r="16" spans="1:24">
      <c r="H16" s="17"/>
      <c r="P16" s="17"/>
      <c r="T16" s="17"/>
    </row>
    <row r="17" spans="2:20">
      <c r="B17" s="1" t="s">
        <v>310</v>
      </c>
      <c r="H17" s="66">
        <f>746183.34*RecentWeek/52</f>
        <v>430490.38846153847</v>
      </c>
      <c r="I17" s="66">
        <f>SUMIF('Source data'!C8:C60,"&lt;=" &amp;RecentWeek,'Source data'!E8:E60) + SUMIF('Source data'!C8:C60,"&lt;=" &amp;RecentWeek,'Source data'!F8:F60) + SUMIF('Source data'!C8:C60,"&lt;=" &amp;RecentWeek,'Source data'!G8:G60)</f>
        <v>831000</v>
      </c>
      <c r="J17" s="66">
        <f>SUMIF('Source data'!Q8:Q60,"&lt;=" &amp;RecentWeek,'Source data'!S8:S60) + SUMIF('Source data'!Q8:Q60,"&lt;=" &amp;RecentWeek,'Source data'!T8:T60) + SUMIF('Source data'!Q8:Q60,"&lt;=" &amp;RecentWeek,'Source data'!U8:U60)</f>
        <v>966528.08000000019</v>
      </c>
      <c r="K17" s="66">
        <f>SUMIF('Source data'!AE8:AE60,"&lt;=" &amp;RecentWeek,'Source data'!AG8:AG60) + SUMIF('Source data'!AE8:AE60,"&lt;=" &amp;RecentWeek,'Source data'!AG8:AG60) + SUMIF('Source data'!AF8:AF60,"&lt;=" &amp;RecentWeek,'Source data'!AI8:AI60)</f>
        <v>1900000</v>
      </c>
      <c r="L17" s="66">
        <f>SUMIF('Source data'!AS8:AS60,"&lt;=" &amp;RecentWeek,'Source data'!AU8:AU60) + SUMIF('Source data'!AS8:AS60,"&lt;=" &amp;RecentWeek,'Source data'!AV8:AV60) + SUMIF('Source data'!AS8:AS60,"&lt;=" &amp;RecentWeek,'Source data'!AW8:AW60)</f>
        <v>1297875.06</v>
      </c>
      <c r="M17" s="66">
        <f>SUMIF('Source data'!BG8:BG60,"&lt;=" &amp;RecentWeek,'Source data'!BI8:BI60) + SUMIF('Source data'!BG8:BG60,"&lt;=" &amp;RecentWeek,'Source data'!BJ8:BJ60) + SUMIF('Source data'!BG8:BG60,"&lt;=" &amp;RecentWeek,'Source data'!BK8:BK60)</f>
        <v>1347354.9699999997</v>
      </c>
      <c r="N17" s="66">
        <f>SUMIF('Source data'!BU8:BU60,"&lt;=" &amp;RecentWeek,'Source data'!BW8:BW60) + SUMIF('Source data'!BU8:BU60,"&lt;=" &amp;RecentWeek,'Source data'!BX8:BX60) + SUMIF('Source data'!BU8:BU60,"&lt;=" &amp;RecentWeek,'Source data'!BY8:BY60)</f>
        <v>1477837.78</v>
      </c>
      <c r="O17" s="66">
        <f>SUMIF('Source data'!CI8:CI60,"&lt;=" &amp;RecentWeek,'Source data'!CK8:CK60) + SUMIF('Source data'!CI8:CI60,"&lt;=" &amp;RecentWeek,'Source data'!CL8:CL60) + SUMIF('Source data'!CI8:CI60,"&lt;=" &amp;RecentWeek,'Source data'!CM8:CM60)</f>
        <v>1724000</v>
      </c>
      <c r="P17" s="66">
        <f>SUMIF('Source data'!CW8:CW60,"&lt;=" &amp;RecentWeek,'Source data'!CY8:CY60) + SUMIF('Source data'!CW8:CW60,"&lt;=" &amp;RecentWeek,'Source data'!CZ8:CZ60) + SUMIF('Source data'!CW8:CW60,"&lt;=" &amp;RecentWeek,'Source data'!DA8:DA60)</f>
        <v>1709991</v>
      </c>
      <c r="Q17" s="66">
        <f>SUMIF('Source data'!DK8:DK60,"&lt;=" &amp;RecentWeek,'Source data'!DM8:DM60) + SUMIF('Source data'!DK8:DK60,"&lt;=" &amp;RecentWeek,'Source data'!DN8:DN60) + SUMIF('Source data'!DK8:DK60,"&lt;=" &amp;RecentWeek,'Source data'!DO8:DO60)</f>
        <v>2004000</v>
      </c>
      <c r="T17" s="17"/>
    </row>
    <row r="18" spans="2:20">
      <c r="C18" s="1" t="s">
        <v>290</v>
      </c>
      <c r="H18" s="6"/>
      <c r="I18" s="42">
        <f t="shared" ref="I18:Q18" si="3">(I17-H17)/H17</f>
        <v>0.93035668687001238</v>
      </c>
      <c r="J18" s="42">
        <f t="shared" si="3"/>
        <v>0.1630903489771362</v>
      </c>
      <c r="K18" s="42">
        <f t="shared" si="3"/>
        <v>0.96579906917965552</v>
      </c>
      <c r="L18" s="42">
        <f t="shared" si="3"/>
        <v>-0.31690786315789471</v>
      </c>
      <c r="M18" s="42">
        <f t="shared" si="3"/>
        <v>3.8123785197012476E-2</v>
      </c>
      <c r="N18" s="42">
        <f t="shared" si="3"/>
        <v>9.6843677356977659E-2</v>
      </c>
      <c r="O18" s="42">
        <f t="shared" si="3"/>
        <v>0.16656917513639419</v>
      </c>
      <c r="P18" s="94">
        <f t="shared" si="3"/>
        <v>-8.1258700696055682E-3</v>
      </c>
      <c r="Q18" s="42">
        <f t="shared" si="3"/>
        <v>0.17193599264557533</v>
      </c>
      <c r="T18" s="17"/>
    </row>
    <row r="21" spans="2:20">
      <c r="B21" s="1" t="s">
        <v>293</v>
      </c>
      <c r="H21" s="3">
        <f t="shared" ref="H21:P21" si="4">H11-H8</f>
        <v>5496.732692307618</v>
      </c>
      <c r="I21" s="3">
        <f t="shared" si="4"/>
        <v>-14000</v>
      </c>
      <c r="J21" s="3">
        <f t="shared" si="4"/>
        <v>-100241.15076923056</v>
      </c>
      <c r="K21" s="3">
        <f t="shared" si="4"/>
        <v>-146153.84615384624</v>
      </c>
      <c r="L21" s="3">
        <f t="shared" si="4"/>
        <v>-61971.093846153701</v>
      </c>
      <c r="M21" s="3">
        <f t="shared" si="4"/>
        <v>-8491.1838461540174</v>
      </c>
      <c r="N21" s="3">
        <f t="shared" si="4"/>
        <v>-2777.60461538448</v>
      </c>
      <c r="O21" s="3">
        <f t="shared" si="4"/>
        <v>-200769.23076923075</v>
      </c>
      <c r="P21" s="3">
        <f t="shared" si="4"/>
        <v>-187162.84615384624</v>
      </c>
      <c r="Q21" s="3">
        <f t="shared" ref="Q21" si="5">Q11-Q8</f>
        <v>24461.538461538497</v>
      </c>
      <c r="S21" s="3"/>
    </row>
    <row r="23" spans="2:20">
      <c r="B23" s="1" t="s">
        <v>325</v>
      </c>
      <c r="H23" s="3" t="s">
        <v>294</v>
      </c>
      <c r="I23" s="43">
        <f>AVERAGEIF('Source data'!C8:C62,"&lt;=" &amp;RecentWeek,'Source data'!I8:I62)</f>
        <v>2025.7333333333333</v>
      </c>
      <c r="J23" s="66">
        <f>AVERAGEIF('Source data'!Q8:Q62,"&lt;=" &amp;RecentWeek,'Source data'!W8:W62)</f>
        <v>2082.5333333333333</v>
      </c>
      <c r="K23" s="66">
        <f>AVERAGEIF('Source data'!AE8:AE62,"&lt;=" &amp;RecentWeek,'Source data'!AK8:AK62)</f>
        <v>1019</v>
      </c>
      <c r="L23" s="66">
        <f>AVERAGEIF('Source data'!AS8:AS62,"&lt;=" &amp;RecentWeek,'Source data'!AY8:AY62)</f>
        <v>1591.3333333333333</v>
      </c>
      <c r="M23" s="66">
        <f>AVERAGEIF('Source data'!BG8:BG62,"&lt;=" &amp;RecentWeek,'Source data'!BM8:BM62)</f>
        <v>1410.8</v>
      </c>
      <c r="N23" s="66">
        <f>AVERAGEIF('Source data'!BU8:BU62,"&lt;=" &amp;RecentWeek,'Source data'!CA8:CA62)</f>
        <v>2303.0333333333333</v>
      </c>
      <c r="O23" s="66">
        <f>AVERAGEIF('Source data'!CI8:CI62,"&lt;=" &amp;RecentWeek,'Source data'!CO8:CO62)</f>
        <v>1537.0666666666666</v>
      </c>
      <c r="P23" s="66">
        <f>AVERAGEIF('Source data'!CW8:CW62,"&lt;=" &amp;RecentWeek,'Source data'!DC8:DDD62)</f>
        <v>1668.1333333333334</v>
      </c>
      <c r="Q23" s="66">
        <f>AVERAGEIF('Source data'!DK8:DK62,"&lt;=" &amp;RecentWeek,'Source data'!DQ8:DQE62)</f>
        <v>1676.8666666666666</v>
      </c>
      <c r="S23" s="66"/>
      <c r="T23" s="17"/>
    </row>
    <row r="25" spans="2:20">
      <c r="B25" s="1" t="s">
        <v>295</v>
      </c>
      <c r="I25" s="3">
        <f t="shared" ref="I25:P25" si="6">I8/I$23</f>
        <v>370.2362930296847</v>
      </c>
      <c r="J25" s="3">
        <f t="shared" si="6"/>
        <v>470.95007559826053</v>
      </c>
      <c r="K25" s="3">
        <f t="shared" si="6"/>
        <v>1075.7152562844419</v>
      </c>
      <c r="L25" s="3">
        <f t="shared" si="6"/>
        <v>725.08137024266057</v>
      </c>
      <c r="M25" s="3">
        <f t="shared" si="6"/>
        <v>817.86656779568602</v>
      </c>
      <c r="N25" s="3">
        <f t="shared" si="6"/>
        <v>601.2137838280172</v>
      </c>
      <c r="O25" s="3">
        <f t="shared" si="6"/>
        <v>1126.0209256392463</v>
      </c>
      <c r="P25" s="3">
        <f t="shared" si="6"/>
        <v>1106.718395504264</v>
      </c>
      <c r="Q25" s="3">
        <f t="shared" ref="Q25" si="7">Q8/Q$23</f>
        <v>1169.7641205055827</v>
      </c>
      <c r="S25" s="3"/>
    </row>
    <row r="26" spans="2:20">
      <c r="B26" s="1" t="s">
        <v>296</v>
      </c>
      <c r="I26" s="3">
        <f t="shared" ref="I26:P26" si="8">I11/I$23</f>
        <v>363.3252155597973</v>
      </c>
      <c r="J26" s="3">
        <f t="shared" si="8"/>
        <v>422.81583968243814</v>
      </c>
      <c r="K26" s="3">
        <f t="shared" si="8"/>
        <v>932.28655544651622</v>
      </c>
      <c r="L26" s="3">
        <f t="shared" si="8"/>
        <v>686.13849602010896</v>
      </c>
      <c r="M26" s="3">
        <f t="shared" si="8"/>
        <v>811.84786645874669</v>
      </c>
      <c r="N26" s="3">
        <f t="shared" si="8"/>
        <v>600.00772025299966</v>
      </c>
      <c r="O26" s="3">
        <f t="shared" si="8"/>
        <v>995.40249826509375</v>
      </c>
      <c r="P26" s="3">
        <f t="shared" si="8"/>
        <v>994.51942290784109</v>
      </c>
      <c r="Q26" s="3">
        <f t="shared" ref="Q26" si="9">Q11/Q$23</f>
        <v>1184.351767184829</v>
      </c>
      <c r="S26" s="3"/>
    </row>
    <row r="27" spans="2:20">
      <c r="B27" s="1" t="s">
        <v>297</v>
      </c>
      <c r="I27" s="3">
        <f t="shared" ref="I27:P27" si="10">I17/I$23</f>
        <v>410.22181267689069</v>
      </c>
      <c r="J27" s="3">
        <f t="shared" si="10"/>
        <v>464.11169729176015</v>
      </c>
      <c r="K27" s="3">
        <f t="shared" si="10"/>
        <v>1864.5731108930324</v>
      </c>
      <c r="L27" s="3">
        <f t="shared" si="10"/>
        <v>815.58968998743205</v>
      </c>
      <c r="M27" s="3">
        <f t="shared" si="10"/>
        <v>955.02904026084479</v>
      </c>
      <c r="N27" s="3">
        <f t="shared" si="10"/>
        <v>641.69187593174217</v>
      </c>
      <c r="O27" s="3">
        <f t="shared" si="10"/>
        <v>1121.616932685635</v>
      </c>
      <c r="P27" s="3">
        <f t="shared" si="10"/>
        <v>1025.0925185836463</v>
      </c>
      <c r="Q27" s="3">
        <f t="shared" ref="Q27" si="11">Q17/Q$23</f>
        <v>1195.0860732318213</v>
      </c>
      <c r="S27" s="3"/>
    </row>
    <row r="28" spans="2:20">
      <c r="I28" s="3"/>
      <c r="J28" s="3"/>
      <c r="K28" s="3"/>
      <c r="L28" s="3"/>
      <c r="M28" s="3"/>
      <c r="N28" s="3"/>
      <c r="O28" s="3"/>
      <c r="P28" s="3"/>
      <c r="Q28" s="3"/>
      <c r="S28" s="3"/>
    </row>
    <row r="29" spans="2:20">
      <c r="I29" s="3"/>
      <c r="J29" s="3"/>
      <c r="K29" s="3"/>
      <c r="L29" s="3"/>
      <c r="M29" s="3"/>
      <c r="N29" s="3"/>
      <c r="O29" s="3"/>
      <c r="P29" s="3"/>
      <c r="Q29" s="3"/>
      <c r="S29" s="3"/>
    </row>
    <row r="30" spans="2:20">
      <c r="I30" s="3"/>
      <c r="J30" s="3"/>
      <c r="K30" s="3"/>
      <c r="L30" s="3"/>
      <c r="M30" s="3"/>
      <c r="N30" s="3"/>
      <c r="O30" s="3"/>
      <c r="P30" s="3"/>
      <c r="Q30" s="3"/>
      <c r="S30" s="3"/>
    </row>
    <row r="76" spans="1:17">
      <c r="A76" s="108" t="s">
        <v>301</v>
      </c>
      <c r="B76" s="108"/>
      <c r="C76" s="108"/>
      <c r="D76" s="108"/>
      <c r="E76" s="108"/>
      <c r="F76" s="108"/>
      <c r="G76" s="108"/>
      <c r="H76" s="108"/>
      <c r="I76" s="108"/>
      <c r="J76" s="108"/>
      <c r="K76" s="108"/>
      <c r="L76" s="108"/>
      <c r="M76" s="108"/>
      <c r="N76" s="108"/>
      <c r="O76" s="108"/>
      <c r="P76" s="108"/>
      <c r="Q76" s="90"/>
    </row>
    <row r="77" spans="1:17">
      <c r="A77" s="109" t="s">
        <v>314</v>
      </c>
      <c r="B77" s="109"/>
      <c r="C77" s="109"/>
      <c r="D77" s="109"/>
      <c r="E77" s="109"/>
      <c r="F77" s="109"/>
      <c r="G77" s="109"/>
      <c r="H77" s="109"/>
      <c r="I77" s="109"/>
      <c r="J77" s="109"/>
      <c r="K77" s="109"/>
      <c r="L77" s="109"/>
      <c r="M77" s="109"/>
      <c r="N77" s="109"/>
      <c r="O77" s="109"/>
      <c r="P77" s="109"/>
      <c r="Q77" s="91"/>
    </row>
    <row r="78" spans="1:17">
      <c r="A78" s="110"/>
      <c r="B78" s="110"/>
      <c r="C78" s="110"/>
      <c r="D78" s="110"/>
      <c r="E78" s="110"/>
      <c r="F78" s="110"/>
      <c r="G78" s="110"/>
      <c r="H78" s="110"/>
      <c r="I78" s="110"/>
      <c r="J78" s="110"/>
      <c r="K78" s="110"/>
      <c r="L78" s="110"/>
      <c r="M78" s="110"/>
      <c r="N78" s="110"/>
      <c r="O78" s="110"/>
      <c r="P78" s="110"/>
      <c r="Q78" s="88"/>
    </row>
    <row r="79" spans="1:17">
      <c r="A79" s="1" t="s">
        <v>302</v>
      </c>
    </row>
    <row r="80" spans="1:17">
      <c r="A80" s="110" t="s">
        <v>303</v>
      </c>
      <c r="B80" s="110"/>
      <c r="C80" s="110"/>
      <c r="D80" s="110"/>
      <c r="E80" s="110"/>
      <c r="F80" s="110"/>
      <c r="G80" s="110"/>
      <c r="H80" s="110"/>
      <c r="I80" s="110"/>
      <c r="J80" s="110"/>
      <c r="K80" s="110"/>
      <c r="L80" s="110"/>
      <c r="M80" s="110"/>
      <c r="N80" s="110"/>
      <c r="O80" s="110"/>
      <c r="P80" s="110"/>
      <c r="Q80" s="88"/>
    </row>
    <row r="81" spans="1:17">
      <c r="A81" s="110"/>
      <c r="B81" s="110"/>
      <c r="C81" s="110"/>
      <c r="D81" s="110"/>
      <c r="E81" s="110"/>
      <c r="F81" s="110"/>
      <c r="G81" s="110"/>
      <c r="H81" s="110"/>
      <c r="I81" s="110"/>
      <c r="J81" s="110"/>
      <c r="K81" s="110"/>
      <c r="L81" s="110"/>
      <c r="M81" s="110"/>
      <c r="N81" s="110"/>
      <c r="O81" s="110"/>
      <c r="P81" s="110"/>
      <c r="Q81" s="88"/>
    </row>
    <row r="84" spans="1:17">
      <c r="A84" s="108" t="s">
        <v>304</v>
      </c>
      <c r="B84" s="108"/>
      <c r="C84" s="108"/>
      <c r="D84" s="108"/>
      <c r="E84" s="108"/>
      <c r="F84" s="108"/>
      <c r="G84" s="108"/>
      <c r="H84" s="108"/>
      <c r="I84" s="108"/>
      <c r="J84" s="108"/>
      <c r="K84" s="108"/>
      <c r="L84" s="108"/>
      <c r="M84" s="108"/>
      <c r="N84" s="108"/>
      <c r="O84" s="108"/>
      <c r="P84" s="108"/>
      <c r="Q84" s="90"/>
    </row>
    <row r="85" spans="1:17">
      <c r="A85" s="1" t="s">
        <v>315</v>
      </c>
    </row>
    <row r="86" spans="1:17">
      <c r="A86" s="36" t="s">
        <v>316</v>
      </c>
    </row>
    <row r="87" spans="1:17">
      <c r="A87" s="47" t="s">
        <v>317</v>
      </c>
    </row>
  </sheetData>
  <mergeCells count="4">
    <mergeCell ref="A76:P76"/>
    <mergeCell ref="A77:P78"/>
    <mergeCell ref="A80:P81"/>
    <mergeCell ref="A84:P84"/>
  </mergeCells>
  <conditionalFormatting sqref="H21:P21">
    <cfRule type="cellIs" dxfId="5" priority="5" operator="lessThan">
      <formula>0</formula>
    </cfRule>
    <cfRule type="cellIs" dxfId="4" priority="6" operator="greaterThan">
      <formula>0</formula>
    </cfRule>
  </conditionalFormatting>
  <conditionalFormatting sqref="S21">
    <cfRule type="cellIs" dxfId="3" priority="3" operator="lessThan">
      <formula>0</formula>
    </cfRule>
    <cfRule type="cellIs" dxfId="2" priority="4" operator="greaterThan">
      <formula>0</formula>
    </cfRule>
  </conditionalFormatting>
  <conditionalFormatting sqref="Q21">
    <cfRule type="cellIs" dxfId="1" priority="1" operator="lessThan">
      <formula>0</formula>
    </cfRule>
    <cfRule type="cellIs" dxfId="0" priority="2" operator="greaterThan">
      <formula>0</formula>
    </cfRule>
  </conditionalFormatting>
  <dataValidations disablePrompts="1" count="2">
    <dataValidation type="whole" operator="equal" allowBlank="1" showInputMessage="1" showErrorMessage="1" errorTitle="No touchy!" error="Do not mess with these cells" sqref="X4">
      <formula1>999</formula1>
    </dataValidation>
    <dataValidation type="whole" errorStyle="information" operator="equal" allowBlank="1" showInputMessage="1" showErrorMessage="1" errorTitle="No touchy!" error="Do not mess with these cells" sqref="X5">
      <formula1>999</formula1>
    </dataValidation>
  </dataValidations>
  <pageMargins left="0.7" right="0.7" top="0.75" bottom="0.75" header="0.3" footer="0.3"/>
  <pageSetup orientation="portrait" verticalDpi="1200" r:id="rId1"/>
  <drawing r:id="rId2"/>
  <extLst>
    <ext xmlns:x14="http://schemas.microsoft.com/office/spreadsheetml/2009/9/main" uri="{05C60535-1F16-4fd2-B633-F4F36F0B64E0}">
      <x14:sparklineGroups xmlns:xm="http://schemas.microsoft.com/office/excel/2006/main">
        <x14:sparklineGroup displayEmptyCellsAs="gap">
          <x14:colorSeries theme="7" tint="-0.499984740745262"/>
          <x14:colorNegative theme="8"/>
          <x14:colorAxis rgb="FF000000"/>
          <x14:colorMarkers theme="7" tint="-0.499984740745262"/>
          <x14:colorFirst theme="7" tint="0.39997558519241921"/>
          <x14:colorLast theme="7" tint="0.39997558519241921"/>
          <x14:colorHigh theme="7"/>
          <x14:colorLow theme="7"/>
          <x14:sparklines>
            <x14:sparkline>
              <xm:f>Summary!I8:P8</xm:f>
              <xm:sqref>R8</xm:sqref>
            </x14:sparkline>
          </x14:sparklines>
        </x14:sparklineGroup>
        <x14:sparklineGroup displayEmptyCellsAs="gap">
          <x14:colorSeries theme="7" tint="-0.499984740745262"/>
          <x14:colorNegative theme="8"/>
          <x14:colorAxis rgb="FF000000"/>
          <x14:colorMarkers theme="7" tint="-0.499984740745262"/>
          <x14:colorFirst theme="7" tint="0.39997558519241921"/>
          <x14:colorLast theme="7" tint="0.39997558519241921"/>
          <x14:colorHigh theme="7"/>
          <x14:colorLow theme="7"/>
          <x14:sparklines>
            <x14:sparkline>
              <xm:f>Summary!I11:P11</xm:f>
              <xm:sqref>R11</xm:sqref>
            </x14:sparkline>
          </x14:sparklines>
        </x14:sparklineGroup>
        <x14:sparklineGroup displayEmptyCellsAs="gap">
          <x14:colorSeries theme="7" tint="-0.499984740745262"/>
          <x14:colorNegative theme="8"/>
          <x14:colorAxis rgb="FF000000"/>
          <x14:colorMarkers theme="7" tint="-0.499984740745262"/>
          <x14:colorFirst theme="7" tint="0.39997558519241921"/>
          <x14:colorLast theme="7" tint="0.39997558519241921"/>
          <x14:colorHigh theme="7"/>
          <x14:colorLow theme="7"/>
          <x14:sparklines>
            <x14:sparkline>
              <xm:f>Summary!I17:P17</xm:f>
              <xm:sqref>R17</xm:sqref>
            </x14:sparkline>
          </x14:sparklines>
        </x14:sparklineGroup>
        <x14:sparklineGroup displayEmptyCellsAs="gap">
          <x14:colorSeries theme="7" tint="-0.499984740745262"/>
          <x14:colorNegative theme="8"/>
          <x14:colorAxis rgb="FF000000"/>
          <x14:colorMarkers theme="7" tint="-0.499984740745262"/>
          <x14:colorFirst theme="7" tint="0.39997558519241921"/>
          <x14:colorLast theme="7" tint="0.39997558519241921"/>
          <x14:colorHigh theme="7"/>
          <x14:colorLow theme="7"/>
          <x14:sparklines>
            <x14:sparkline>
              <xm:f>Summary!I25:P25</xm:f>
              <xm:sqref>R25</xm:sqref>
            </x14:sparkline>
            <x14:sparkline>
              <xm:f>Summary!I26:P26</xm:f>
              <xm:sqref>R26</xm:sqref>
            </x14:sparkline>
            <x14:sparkline>
              <xm:f>Summary!I27:P27</xm:f>
              <xm:sqref>R27</xm:sqref>
            </x14:sparkline>
            <x14:sparkline>
              <xm:f>Summary!I28:P28</xm:f>
              <xm:sqref>R28</xm:sqref>
            </x14:sparkline>
            <x14:sparkline>
              <xm:f>Summary!I29:P29</xm:f>
              <xm:sqref>R29</xm:sqref>
            </x14:sparkline>
            <x14:sparkline>
              <xm:f>Summary!I30:P30</xm:f>
              <xm:sqref>R30</xm:sqref>
            </x14:sparkline>
          </x14:sparklines>
        </x14:sparklineGroup>
        <x14:sparklineGroup displayEmptyCellsAs="gap">
          <x14:colorSeries theme="7" tint="-0.499984740745262"/>
          <x14:colorNegative theme="8"/>
          <x14:colorAxis rgb="FF000000"/>
          <x14:colorMarkers theme="7" tint="-0.499984740745262"/>
          <x14:colorFirst theme="7" tint="0.39997558519241921"/>
          <x14:colorLast theme="7" tint="0.39997558519241921"/>
          <x14:colorHigh theme="7"/>
          <x14:colorLow theme="7"/>
          <x14:sparklines>
            <x14:sparkline>
              <xm:f>Summary!I23:P23</xm:f>
              <xm:sqref>R23</xm:sqref>
            </x14:sparkline>
          </x14:sparklines>
        </x14:sparklineGroup>
      </x14:sparklineGroup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U148"/>
  <sheetViews>
    <sheetView topLeftCell="A49" workbookViewId="0">
      <selection activeCell="J75" sqref="J75"/>
    </sheetView>
  </sheetViews>
  <sheetFormatPr defaultColWidth="8.83203125" defaultRowHeight="12.75"/>
  <cols>
    <col min="1" max="1" width="2.83203125" style="1" customWidth="1"/>
    <col min="2" max="2" width="12" style="1" customWidth="1"/>
    <col min="3" max="3" width="13.83203125" style="1" customWidth="1"/>
    <col min="4" max="4" width="2.83203125" style="1" customWidth="1"/>
    <col min="5" max="5" width="13.83203125" style="1" customWidth="1"/>
    <col min="6" max="6" width="2.83203125" style="1" customWidth="1"/>
    <col min="7" max="7" width="13.83203125" style="1" customWidth="1"/>
    <col min="8" max="8" width="18.5" style="1" customWidth="1"/>
    <col min="9" max="9" width="16.33203125" style="1" customWidth="1"/>
    <col min="10" max="10" width="17.1640625" style="1" customWidth="1"/>
    <col min="11" max="11" width="3.83203125" style="1" customWidth="1"/>
    <col min="12" max="12" width="2.83203125" style="1" customWidth="1"/>
    <col min="13" max="13" width="7" style="1" bestFit="1" customWidth="1"/>
    <col min="14" max="14" width="11.33203125" style="1" bestFit="1" customWidth="1"/>
    <col min="15" max="15" width="11.33203125" style="1" customWidth="1"/>
    <col min="16" max="16" width="13.83203125" style="1" customWidth="1"/>
    <col min="17" max="17" width="7.6640625" style="1" customWidth="1"/>
    <col min="18" max="18" width="13" style="1" customWidth="1"/>
    <col min="19" max="19" width="10" style="1" bestFit="1" customWidth="1"/>
    <col min="20" max="20" width="13.6640625" style="1" bestFit="1" customWidth="1"/>
    <col min="21" max="21" width="14.5" style="1" bestFit="1" customWidth="1"/>
    <col min="22" max="16384" width="8.83203125" style="1"/>
  </cols>
  <sheetData>
    <row r="1" spans="1:21">
      <c r="A1" s="7" t="str">
        <f>Client</f>
        <v>Example Church</v>
      </c>
    </row>
    <row r="2" spans="1:21">
      <c r="A2" s="7" t="str">
        <f>FileName</f>
        <v>Budget proposal worksheet</v>
      </c>
    </row>
    <row r="3" spans="1:21">
      <c r="A3" s="7" t="s">
        <v>283</v>
      </c>
    </row>
    <row r="4" spans="1:21">
      <c r="A4" s="8" t="str">
        <f>Date</f>
        <v>10/31/13</v>
      </c>
    </row>
    <row r="7" spans="1:21">
      <c r="B7" s="29" t="s">
        <v>285</v>
      </c>
      <c r="C7" s="30"/>
      <c r="D7" s="30"/>
      <c r="E7" s="30"/>
      <c r="F7" s="30"/>
      <c r="G7" s="30"/>
      <c r="H7" s="30"/>
      <c r="I7" s="31"/>
      <c r="J7" s="31">
        <v>7</v>
      </c>
    </row>
    <row r="8" spans="1:21">
      <c r="B8" s="32" t="s">
        <v>300</v>
      </c>
      <c r="C8" s="33"/>
      <c r="D8" s="33"/>
      <c r="E8" s="33"/>
      <c r="F8" s="33"/>
      <c r="G8" s="33"/>
      <c r="H8" s="33"/>
      <c r="I8" s="34"/>
      <c r="J8" s="34" t="str">
        <f>CHOOSE(Attend,"High","Average","Low","Ave. last 3 years", "Ave. last 2 years", "Last year", "Trend analysis")</f>
        <v>Trend analysis</v>
      </c>
    </row>
    <row r="10" spans="1:21">
      <c r="B10" s="29" t="s">
        <v>284</v>
      </c>
      <c r="C10" s="30"/>
      <c r="D10" s="30"/>
      <c r="E10" s="30"/>
      <c r="F10" s="30"/>
      <c r="G10" s="30"/>
      <c r="H10" s="30"/>
      <c r="I10" s="31"/>
      <c r="J10" s="31">
        <v>6</v>
      </c>
    </row>
    <row r="11" spans="1:21">
      <c r="B11" s="32" t="s">
        <v>300</v>
      </c>
      <c r="C11" s="33"/>
      <c r="D11" s="33"/>
      <c r="E11" s="33"/>
      <c r="F11" s="33"/>
      <c r="G11" s="33"/>
      <c r="H11" s="33"/>
      <c r="I11" s="34"/>
      <c r="J11" s="34" t="str">
        <f>CHOOSE(Rate,"High","Average","Low","Ave. last 3 years", "Ave. last 2 years", "Last year", "Trend analysis")</f>
        <v>Last year</v>
      </c>
      <c r="O11" s="7"/>
    </row>
    <row r="12" spans="1:21">
      <c r="B12" s="52"/>
      <c r="C12" s="52"/>
      <c r="D12" s="52"/>
      <c r="E12" s="52"/>
      <c r="F12" s="52"/>
      <c r="G12" s="52"/>
      <c r="H12" s="52"/>
      <c r="I12" s="53"/>
      <c r="J12" s="53"/>
      <c r="O12" s="7"/>
    </row>
    <row r="13" spans="1:21">
      <c r="B13" s="111"/>
      <c r="C13" s="111"/>
      <c r="D13" s="111"/>
      <c r="E13" s="111"/>
      <c r="F13" s="111"/>
      <c r="G13" s="111"/>
      <c r="M13" s="111" t="s">
        <v>305</v>
      </c>
      <c r="N13" s="111"/>
      <c r="O13" s="111"/>
      <c r="P13" s="111"/>
      <c r="R13" s="111" t="s">
        <v>313</v>
      </c>
      <c r="S13" s="111"/>
      <c r="T13" s="111"/>
      <c r="U13" s="111"/>
    </row>
    <row r="14" spans="1:21">
      <c r="E14" s="19" t="s">
        <v>5</v>
      </c>
      <c r="P14" s="19" t="s">
        <v>5</v>
      </c>
      <c r="U14" s="19" t="s">
        <v>5</v>
      </c>
    </row>
    <row r="15" spans="1:21">
      <c r="C15" s="19"/>
      <c r="E15" s="19" t="s">
        <v>279</v>
      </c>
      <c r="G15" s="19" t="s">
        <v>281</v>
      </c>
      <c r="I15" s="19" t="s">
        <v>326</v>
      </c>
      <c r="J15" s="19" t="s">
        <v>326</v>
      </c>
      <c r="N15" s="19"/>
      <c r="O15" s="19"/>
      <c r="P15" s="19" t="s">
        <v>279</v>
      </c>
      <c r="R15" s="19"/>
      <c r="S15" s="19"/>
      <c r="T15" s="19" t="s">
        <v>6</v>
      </c>
      <c r="U15" s="19" t="s">
        <v>279</v>
      </c>
    </row>
    <row r="16" spans="1:21">
      <c r="B16" s="22" t="s">
        <v>0</v>
      </c>
      <c r="C16" s="22" t="s">
        <v>62</v>
      </c>
      <c r="E16" s="22" t="s">
        <v>280</v>
      </c>
      <c r="G16" s="22" t="s">
        <v>282</v>
      </c>
      <c r="I16" s="22" t="s">
        <v>62</v>
      </c>
      <c r="J16" s="22" t="s">
        <v>282</v>
      </c>
      <c r="M16" s="22" t="s">
        <v>0</v>
      </c>
      <c r="N16" s="22" t="s">
        <v>62</v>
      </c>
      <c r="O16" s="22" t="s">
        <v>279</v>
      </c>
      <c r="P16" s="22" t="s">
        <v>280</v>
      </c>
      <c r="R16" s="22" t="s">
        <v>62</v>
      </c>
      <c r="S16" s="22" t="s">
        <v>279</v>
      </c>
      <c r="T16" s="22" t="s">
        <v>279</v>
      </c>
      <c r="U16" s="22" t="s">
        <v>280</v>
      </c>
    </row>
    <row r="17" spans="1:21">
      <c r="B17" s="1">
        <v>1</v>
      </c>
      <c r="C17" s="44">
        <f>CHOOSE(Attend,'Attendance analysis'!O9,'Attendance analysis'!P9,'Attendance analysis'!Q9,'Attendance analysis'!R9,'Attendance analysis'!S9,'Attendance analysis'!T9,'Attendance analysis'!U9)</f>
        <v>1345.7857142857174</v>
      </c>
      <c r="E17" s="43">
        <f>CHOOSE(Rate,'Attendee giving analysis'!N9,'Attendee giving analysis'!O9,'Attendee giving analysis'!P9,'Attendee giving analysis'!Q9,'Attendee giving analysis'!R9,'Attendee giving analysis'!S9,'Attendee giving analysis'!T9)</f>
        <v>52.710843373493979</v>
      </c>
      <c r="G17" s="3">
        <f>C17*E17</f>
        <v>70937.500000000175</v>
      </c>
      <c r="I17" s="3">
        <v>693.46428571428987</v>
      </c>
      <c r="J17" s="3">
        <f t="shared" ref="J17:J48" si="0">(G17/$G$70)*BudgetedTotalRevenue</f>
        <v>39864.402992295953</v>
      </c>
      <c r="M17" s="1">
        <v>1</v>
      </c>
      <c r="N17" s="44">
        <f>'Source data'!DQ8</f>
        <v>1328</v>
      </c>
      <c r="O17" s="50">
        <f>'Source data'!DM8+'Source data'!DN8+'Source data'!DO8</f>
        <v>70000</v>
      </c>
      <c r="P17" s="43">
        <f>'Source data'!DW8</f>
        <v>52.710843373493979</v>
      </c>
      <c r="R17" s="51">
        <f>N17-I17</f>
        <v>634.53571428571013</v>
      </c>
      <c r="S17" s="3">
        <f>O17-J17</f>
        <v>30135.597007704047</v>
      </c>
      <c r="T17" s="3">
        <f>SUM(S$17:S17)</f>
        <v>30135.597007704047</v>
      </c>
      <c r="U17" s="3">
        <f>P17-(J17/I17)</f>
        <v>-4.7750341453956509</v>
      </c>
    </row>
    <row r="18" spans="1:21">
      <c r="B18" s="1">
        <v>2</v>
      </c>
      <c r="C18" s="44">
        <f>CHOOSE(Attend,'Attendance analysis'!O10,'Attendance analysis'!P10,'Attendance analysis'!Q10,'Attendance analysis'!R10,'Attendance analysis'!S10,'Attendance analysis'!T10,'Attendance analysis'!U10)</f>
        <v>1693.1785714285797</v>
      </c>
      <c r="E18" s="43">
        <f>CHOOSE(Rate,'Attendee giving analysis'!N10,'Attendee giving analysis'!O10,'Attendee giving analysis'!P10,'Attendee giving analysis'!Q10,'Attendee giving analysis'!R10,'Attendee giving analysis'!S10,'Attendee giving analysis'!T10)</f>
        <v>47.233468286099864</v>
      </c>
      <c r="G18" s="3">
        <f t="shared" ref="G18:G68" si="1">C18*E18</f>
        <v>79974.696356275701</v>
      </c>
      <c r="I18" s="3">
        <v>890.5</v>
      </c>
      <c r="J18" s="3">
        <f t="shared" si="0"/>
        <v>44942.99241914459</v>
      </c>
      <c r="M18" s="1">
        <v>2</v>
      </c>
      <c r="N18" s="44">
        <f>'Source data'!DQ9</f>
        <v>1482</v>
      </c>
      <c r="O18" s="50">
        <f>'Source data'!DM9+'Source data'!DN9+'Source data'!DO9</f>
        <v>70000</v>
      </c>
      <c r="P18" s="43">
        <f>'Source data'!DW9</f>
        <v>47.233468286099864</v>
      </c>
      <c r="R18" s="51">
        <f t="shared" ref="R18:R68" si="2">N18-I18</f>
        <v>591.5</v>
      </c>
      <c r="S18" s="3">
        <f t="shared" ref="S18:S68" si="3">O18-J18</f>
        <v>25057.00758085541</v>
      </c>
      <c r="T18" s="3">
        <f>SUM(S$17:S18)</f>
        <v>55192.604588559458</v>
      </c>
      <c r="U18" s="3">
        <f t="shared" ref="U18:U68" si="4">P18-(J18/I18)</f>
        <v>-3.2359224147924337</v>
      </c>
    </row>
    <row r="19" spans="1:21">
      <c r="A19" s="17"/>
      <c r="B19" s="1">
        <v>3</v>
      </c>
      <c r="C19" s="44">
        <f>CHOOSE(Attend,'Attendance analysis'!O11,'Attendance analysis'!P11,'Attendance analysis'!Q11,'Attendance analysis'!R11,'Attendance analysis'!S11,'Attendance analysis'!T11,'Attendance analysis'!U11)</f>
        <v>1585.9642857142899</v>
      </c>
      <c r="E19" s="43">
        <f>CHOOSE(Rate,'Attendee giving analysis'!N11,'Attendee giving analysis'!O11,'Attendee giving analysis'!P11,'Attendee giving analysis'!Q11,'Attendee giving analysis'!R11,'Attendee giving analysis'!S11,'Attendee giving analysis'!T11)</f>
        <v>38.203753351206437</v>
      </c>
      <c r="G19" s="3">
        <f t="shared" si="1"/>
        <v>60589.788395251024</v>
      </c>
      <c r="I19" s="3">
        <v>860.28571428571013</v>
      </c>
      <c r="J19" s="3">
        <f t="shared" si="0"/>
        <v>34049.349664228619</v>
      </c>
      <c r="M19" s="1">
        <v>3</v>
      </c>
      <c r="N19" s="44">
        <f>'Source data'!DQ10</f>
        <v>1492</v>
      </c>
      <c r="O19" s="50">
        <f>'Source data'!DM10+'Source data'!DN10+'Source data'!DO10</f>
        <v>57000</v>
      </c>
      <c r="P19" s="43">
        <f>'Source data'!DW10</f>
        <v>38.203753351206437</v>
      </c>
      <c r="R19" s="51">
        <f t="shared" si="2"/>
        <v>631.71428571428987</v>
      </c>
      <c r="S19" s="3">
        <f t="shared" si="3"/>
        <v>22950.650335771381</v>
      </c>
      <c r="T19" s="3">
        <f>SUM(S$17:S19)</f>
        <v>78143.254924330831</v>
      </c>
      <c r="U19" s="3">
        <f t="shared" si="4"/>
        <v>-1.3753644916367165</v>
      </c>
    </row>
    <row r="20" spans="1:21">
      <c r="B20" s="1">
        <v>4</v>
      </c>
      <c r="C20" s="44">
        <f>CHOOSE(Attend,'Attendance analysis'!O12,'Attendance analysis'!P12,'Attendance analysis'!Q12,'Attendance analysis'!R12,'Attendance analysis'!S12,'Attendance analysis'!T12,'Attendance analysis'!U12)</f>
        <v>1765.0357142857174</v>
      </c>
      <c r="E20" s="43">
        <f>CHOOSE(Rate,'Attendee giving analysis'!N12,'Attendee giving analysis'!O12,'Attendee giving analysis'!P12,'Attendee giving analysis'!Q12,'Attendee giving analysis'!R12,'Attendee giving analysis'!S12,'Attendee giving analysis'!T12)</f>
        <v>32.238442822384428</v>
      </c>
      <c r="G20" s="3">
        <f t="shared" si="1"/>
        <v>56902.002954466559</v>
      </c>
      <c r="I20" s="3">
        <v>925.96428571428987</v>
      </c>
      <c r="J20" s="3">
        <f t="shared" si="0"/>
        <v>31976.942757295707</v>
      </c>
      <c r="M20" s="1">
        <v>4</v>
      </c>
      <c r="N20" s="44">
        <f>'Source data'!DQ11</f>
        <v>1644</v>
      </c>
      <c r="O20" s="50">
        <f>'Source data'!DM11+'Source data'!DN11+'Source data'!DO11</f>
        <v>53000</v>
      </c>
      <c r="P20" s="43">
        <f>'Source data'!DW11</f>
        <v>32.238442822384428</v>
      </c>
      <c r="R20" s="51">
        <f t="shared" si="2"/>
        <v>718.03571428571013</v>
      </c>
      <c r="S20" s="3">
        <f t="shared" si="3"/>
        <v>21023.057242704293</v>
      </c>
      <c r="T20" s="3">
        <f>SUM(S$17:S20)</f>
        <v>99166.312167035125</v>
      </c>
      <c r="U20" s="3">
        <f t="shared" si="4"/>
        <v>-2.2952246749841763</v>
      </c>
    </row>
    <row r="21" spans="1:21">
      <c r="B21" s="1">
        <v>5</v>
      </c>
      <c r="C21" s="44">
        <f>CHOOSE(Attend,'Attendance analysis'!O13,'Attendance analysis'!P13,'Attendance analysis'!Q13,'Attendance analysis'!R13,'Attendance analysis'!S13,'Attendance analysis'!T13,'Attendance analysis'!U13)</f>
        <v>1834.6071428571422</v>
      </c>
      <c r="E21" s="43">
        <f>CHOOSE(Rate,'Attendee giving analysis'!N13,'Attendee giving analysis'!O13,'Attendee giving analysis'!P13,'Attendee giving analysis'!Q13,'Attendee giving analysis'!R13,'Attendee giving analysis'!S13,'Attendee giving analysis'!T13)</f>
        <v>31.385281385281385</v>
      </c>
      <c r="G21" s="3">
        <f t="shared" si="1"/>
        <v>57579.661410018532</v>
      </c>
      <c r="I21" s="3">
        <v>998.53571428571013</v>
      </c>
      <c r="J21" s="3">
        <f t="shared" si="0"/>
        <v>32357.763194487045</v>
      </c>
      <c r="M21" s="1">
        <v>5</v>
      </c>
      <c r="N21" s="44">
        <f>'Source data'!DQ12</f>
        <v>1848</v>
      </c>
      <c r="O21" s="50">
        <f>'Source data'!DM12+'Source data'!DN12+'Source data'!DO12</f>
        <v>58000</v>
      </c>
      <c r="P21" s="43">
        <f>'Source data'!DW12</f>
        <v>31.385281385281385</v>
      </c>
      <c r="R21" s="51">
        <f t="shared" si="2"/>
        <v>849.46428571428987</v>
      </c>
      <c r="S21" s="3">
        <f t="shared" si="3"/>
        <v>25642.236805512955</v>
      </c>
      <c r="T21" s="3">
        <f>SUM(S$17:S21)</f>
        <v>124808.54897254807</v>
      </c>
      <c r="U21" s="3">
        <f t="shared" si="4"/>
        <v>-1.0199323006745153</v>
      </c>
    </row>
    <row r="22" spans="1:21">
      <c r="B22" s="1">
        <v>6</v>
      </c>
      <c r="C22" s="44">
        <f>CHOOSE(Attend,'Attendance analysis'!O14,'Attendance analysis'!P14,'Attendance analysis'!Q14,'Attendance analysis'!R14,'Attendance analysis'!S14,'Attendance analysis'!T14,'Attendance analysis'!U14)</f>
        <v>2073.6785714285652</v>
      </c>
      <c r="E22" s="43">
        <f>CHOOSE(Rate,'Attendee giving analysis'!N14,'Attendee giving analysis'!O14,'Attendee giving analysis'!P14,'Attendee giving analysis'!Q14,'Attendee giving analysis'!R14,'Attendee giving analysis'!S14,'Attendee giving analysis'!T14)</f>
        <v>33.234126984126988</v>
      </c>
      <c r="G22" s="3">
        <f t="shared" si="1"/>
        <v>68916.896967119988</v>
      </c>
      <c r="I22" s="3">
        <v>1145.1785714285797</v>
      </c>
      <c r="J22" s="3">
        <f t="shared" si="0"/>
        <v>38728.894501156698</v>
      </c>
      <c r="M22" s="1">
        <v>6</v>
      </c>
      <c r="N22" s="44">
        <f>'Source data'!DQ13</f>
        <v>2016</v>
      </c>
      <c r="O22" s="50">
        <f>'Source data'!DM13+'Source data'!DN13+'Source data'!DO13</f>
        <v>67000</v>
      </c>
      <c r="P22" s="43">
        <f>'Source data'!DW13</f>
        <v>33.234126984126988</v>
      </c>
      <c r="R22" s="51">
        <f t="shared" si="2"/>
        <v>870.82142857142026</v>
      </c>
      <c r="S22" s="3">
        <f t="shared" si="3"/>
        <v>28271.105498843302</v>
      </c>
      <c r="T22" s="3">
        <f>SUM(S$17:S22)</f>
        <v>153079.65447139138</v>
      </c>
      <c r="U22" s="3">
        <f t="shared" si="4"/>
        <v>-0.58496068256191336</v>
      </c>
    </row>
    <row r="23" spans="1:21">
      <c r="B23" s="1">
        <v>7</v>
      </c>
      <c r="C23" s="44">
        <f>CHOOSE(Attend,'Attendance analysis'!O15,'Attendance analysis'!P15,'Attendance analysis'!Q15,'Attendance analysis'!R15,'Attendance analysis'!S15,'Attendance analysis'!T15,'Attendance analysis'!U15)</f>
        <v>1991.7142857142899</v>
      </c>
      <c r="E23" s="43">
        <f>CHOOSE(Rate,'Attendee giving analysis'!N15,'Attendee giving analysis'!O15,'Attendee giving analysis'!P15,'Attendee giving analysis'!Q15,'Attendee giving analysis'!R15,'Attendee giving analysis'!S15,'Attendee giving analysis'!T15)</f>
        <v>37.802419354838712</v>
      </c>
      <c r="G23" s="3">
        <f t="shared" si="1"/>
        <v>75291.618663594636</v>
      </c>
      <c r="I23" s="3">
        <v>1075.9642857142899</v>
      </c>
      <c r="J23" s="3">
        <f t="shared" si="0"/>
        <v>42311.26595027736</v>
      </c>
      <c r="M23" s="1">
        <v>7</v>
      </c>
      <c r="N23" s="44">
        <f>'Source data'!DQ14</f>
        <v>1984</v>
      </c>
      <c r="O23" s="50">
        <f>'Source data'!DM14+'Source data'!DN14+'Source data'!DO14</f>
        <v>75000</v>
      </c>
      <c r="P23" s="43">
        <f>'Source data'!DW14</f>
        <v>37.802419354838712</v>
      </c>
      <c r="R23" s="51">
        <f t="shared" si="2"/>
        <v>908.03571428571013</v>
      </c>
      <c r="S23" s="3">
        <f t="shared" si="3"/>
        <v>32688.73404972264</v>
      </c>
      <c r="T23" s="3">
        <f>SUM(S$17:S23)</f>
        <v>185768.38852111402</v>
      </c>
      <c r="U23" s="3">
        <f t="shared" si="4"/>
        <v>-1.521623749611166</v>
      </c>
    </row>
    <row r="24" spans="1:21">
      <c r="B24" s="1">
        <v>8</v>
      </c>
      <c r="C24" s="44">
        <f>CHOOSE(Attend,'Attendance analysis'!O16,'Attendance analysis'!P16,'Attendance analysis'!Q16,'Attendance analysis'!R16,'Attendance analysis'!S16,'Attendance analysis'!T16,'Attendance analysis'!U16)</f>
        <v>1773.8214285714275</v>
      </c>
      <c r="E24" s="43">
        <f>CHOOSE(Rate,'Attendee giving analysis'!N16,'Attendee giving analysis'!O16,'Attendee giving analysis'!P16,'Attendee giving analysis'!Q16,'Attendee giving analysis'!R16,'Attendee giving analysis'!S16,'Attendee giving analysis'!T16)</f>
        <v>29.230769230769234</v>
      </c>
      <c r="G24" s="3">
        <f t="shared" si="1"/>
        <v>51850.164835164811</v>
      </c>
      <c r="I24" s="3">
        <v>986.46428571427532</v>
      </c>
      <c r="J24" s="3">
        <f t="shared" si="0"/>
        <v>29137.985779115097</v>
      </c>
      <c r="M24" s="1">
        <v>8</v>
      </c>
      <c r="N24" s="44">
        <f>'Source data'!DQ15</f>
        <v>1950</v>
      </c>
      <c r="O24" s="50">
        <f>'Source data'!DM15+'Source data'!DN15+'Source data'!DO15</f>
        <v>57000</v>
      </c>
      <c r="P24" s="43">
        <f>'Source data'!DW15</f>
        <v>29.230769230769234</v>
      </c>
      <c r="R24" s="51">
        <f t="shared" si="2"/>
        <v>963.53571428572468</v>
      </c>
      <c r="S24" s="3">
        <f t="shared" si="3"/>
        <v>27862.014220884903</v>
      </c>
      <c r="T24" s="3">
        <f>SUM(S$17:S24)</f>
        <v>213630.40274199893</v>
      </c>
      <c r="U24" s="3">
        <f t="shared" si="4"/>
        <v>-0.30703178350364979</v>
      </c>
    </row>
    <row r="25" spans="1:21">
      <c r="B25" s="1">
        <v>9</v>
      </c>
      <c r="C25" s="44">
        <f>CHOOSE(Attend,'Attendance analysis'!O17,'Attendance analysis'!P17,'Attendance analysis'!Q17,'Attendance analysis'!R17,'Attendance analysis'!S17,'Attendance analysis'!T17,'Attendance analysis'!U17)</f>
        <v>1837.3571428571449</v>
      </c>
      <c r="E25" s="43">
        <f>CHOOSE(Rate,'Attendee giving analysis'!N17,'Attendee giving analysis'!O17,'Attendee giving analysis'!P17,'Attendee giving analysis'!Q17,'Attendee giving analysis'!R17,'Attendee giving analysis'!S17,'Attendee giving analysis'!T17)</f>
        <v>39.045553145336228</v>
      </c>
      <c r="G25" s="3">
        <f t="shared" si="1"/>
        <v>71740.625968391774</v>
      </c>
      <c r="I25" s="3">
        <v>1003</v>
      </c>
      <c r="J25" s="3">
        <f t="shared" si="0"/>
        <v>40315.73179945071</v>
      </c>
      <c r="M25" s="1">
        <v>9</v>
      </c>
      <c r="N25" s="44">
        <f>'Source data'!DQ16</f>
        <v>1844</v>
      </c>
      <c r="O25" s="50">
        <f>'Source data'!DM16+'Source data'!DN16+'Source data'!DO16</f>
        <v>72000</v>
      </c>
      <c r="P25" s="43">
        <f>'Source data'!DW16</f>
        <v>39.045553145336228</v>
      </c>
      <c r="R25" s="51">
        <f t="shared" si="2"/>
        <v>841</v>
      </c>
      <c r="S25" s="3">
        <f t="shared" si="3"/>
        <v>31684.26820054929</v>
      </c>
      <c r="T25" s="3">
        <f>SUM(S$17:S25)</f>
        <v>245314.67094254823</v>
      </c>
      <c r="U25" s="3">
        <f t="shared" si="4"/>
        <v>-1.1495932150333701</v>
      </c>
    </row>
    <row r="26" spans="1:21">
      <c r="B26" s="1">
        <v>10</v>
      </c>
      <c r="C26" s="44">
        <f>CHOOSE(Attend,'Attendance analysis'!O18,'Attendance analysis'!P18,'Attendance analysis'!Q18,'Attendance analysis'!R18,'Attendance analysis'!S18,'Attendance analysis'!T18,'Attendance analysis'!U18)</f>
        <v>1895.5357142857174</v>
      </c>
      <c r="E26" s="43">
        <f>CHOOSE(Rate,'Attendee giving analysis'!N18,'Attendee giving analysis'!O18,'Attendee giving analysis'!P18,'Attendee giving analysis'!Q18,'Attendee giving analysis'!R18,'Attendee giving analysis'!S18,'Attendee giving analysis'!T18)</f>
        <v>44.486215538847119</v>
      </c>
      <c r="G26" s="3">
        <f t="shared" si="1"/>
        <v>84325.210347296961</v>
      </c>
      <c r="I26" s="3">
        <v>1020.5714285714348</v>
      </c>
      <c r="J26" s="3">
        <f t="shared" si="0"/>
        <v>47387.829676754351</v>
      </c>
      <c r="M26" s="1">
        <v>10</v>
      </c>
      <c r="N26" s="44">
        <f>'Source data'!DQ17</f>
        <v>1596</v>
      </c>
      <c r="O26" s="50">
        <f>'Source data'!DM17+'Source data'!DN17+'Source data'!DO17</f>
        <v>71000</v>
      </c>
      <c r="P26" s="43">
        <f>'Source data'!DW17</f>
        <v>44.486215538847119</v>
      </c>
      <c r="R26" s="51">
        <f t="shared" si="2"/>
        <v>575.42857142856519</v>
      </c>
      <c r="S26" s="3">
        <f t="shared" si="3"/>
        <v>23612.170323245649</v>
      </c>
      <c r="T26" s="3">
        <f>SUM(S$17:S26)</f>
        <v>268926.84126579389</v>
      </c>
      <c r="U26" s="3">
        <f t="shared" si="4"/>
        <v>-1.9464283213542259</v>
      </c>
    </row>
    <row r="27" spans="1:21">
      <c r="B27" s="1">
        <v>11</v>
      </c>
      <c r="C27" s="44">
        <f>CHOOSE(Attend,'Attendance analysis'!O19,'Attendance analysis'!P19,'Attendance analysis'!Q19,'Attendance analysis'!R19,'Attendance analysis'!S19,'Attendance analysis'!T19,'Attendance analysis'!U19)</f>
        <v>1872.1071428571449</v>
      </c>
      <c r="E27" s="43">
        <f>CHOOSE(Rate,'Attendee giving analysis'!N19,'Attendee giving analysis'!O19,'Attendee giving analysis'!P19,'Attendee giving analysis'!Q19,'Attendee giving analysis'!R19,'Attendee giving analysis'!S19,'Attendee giving analysis'!T19)</f>
        <v>32.955715756951598</v>
      </c>
      <c r="G27" s="3">
        <f t="shared" si="1"/>
        <v>61696.630866558844</v>
      </c>
      <c r="I27" s="3">
        <v>1022.3214285714348</v>
      </c>
      <c r="J27" s="3">
        <f t="shared" si="0"/>
        <v>34671.356562205052</v>
      </c>
      <c r="M27" s="1">
        <v>11</v>
      </c>
      <c r="N27" s="44">
        <f>'Source data'!DQ18</f>
        <v>1942</v>
      </c>
      <c r="O27" s="50">
        <f>'Source data'!DM18+'Source data'!DN18+'Source data'!DO18</f>
        <v>64000</v>
      </c>
      <c r="P27" s="43">
        <f>'Source data'!DW18</f>
        <v>32.955715756951598</v>
      </c>
      <c r="R27" s="51">
        <f t="shared" si="2"/>
        <v>919.67857142856519</v>
      </c>
      <c r="S27" s="3">
        <f t="shared" si="3"/>
        <v>29328.643437794948</v>
      </c>
      <c r="T27" s="3">
        <f>SUM(S$17:S27)</f>
        <v>298255.48470358882</v>
      </c>
      <c r="U27" s="3">
        <f t="shared" si="4"/>
        <v>-0.95862428642780628</v>
      </c>
    </row>
    <row r="28" spans="1:21">
      <c r="B28" s="1">
        <v>12</v>
      </c>
      <c r="C28" s="44">
        <f>CHOOSE(Attend,'Attendance analysis'!O20,'Attendance analysis'!P20,'Attendance analysis'!Q20,'Attendance analysis'!R20,'Attendance analysis'!S20,'Attendance analysis'!T20,'Attendance analysis'!U20)</f>
        <v>1914.75</v>
      </c>
      <c r="E28" s="43">
        <f>CHOOSE(Rate,'Attendee giving analysis'!N20,'Attendee giving analysis'!O20,'Attendee giving analysis'!P20,'Attendee giving analysis'!Q20,'Attendee giving analysis'!R20,'Attendee giving analysis'!S20,'Attendee giving analysis'!T20)</f>
        <v>33.126293995859214</v>
      </c>
      <c r="G28" s="3">
        <f t="shared" si="1"/>
        <v>63428.571428571428</v>
      </c>
      <c r="I28" s="3">
        <v>1041</v>
      </c>
      <c r="J28" s="3">
        <f t="shared" si="0"/>
        <v>35644.646803935779</v>
      </c>
      <c r="M28" s="1">
        <v>12</v>
      </c>
      <c r="N28" s="44">
        <f>'Source data'!DQ19</f>
        <v>1932</v>
      </c>
      <c r="O28" s="50">
        <f>'Source data'!DM19+'Source data'!DN19+'Source data'!DO19</f>
        <v>64000</v>
      </c>
      <c r="P28" s="43">
        <f>'Source data'!DW19</f>
        <v>33.126293995859214</v>
      </c>
      <c r="R28" s="51">
        <f t="shared" si="2"/>
        <v>891</v>
      </c>
      <c r="S28" s="3">
        <f t="shared" si="3"/>
        <v>28355.353196064221</v>
      </c>
      <c r="T28" s="3">
        <f>SUM(S$17:S28)</f>
        <v>326610.83789965307</v>
      </c>
      <c r="U28" s="3">
        <f t="shared" si="4"/>
        <v>-1.1144810319369256</v>
      </c>
    </row>
    <row r="29" spans="1:21">
      <c r="B29" s="1">
        <v>13</v>
      </c>
      <c r="C29" s="44">
        <f>CHOOSE(Attend,'Attendance analysis'!O21,'Attendance analysis'!P21,'Attendance analysis'!Q21,'Attendance analysis'!R21,'Attendance analysis'!S21,'Attendance analysis'!T21,'Attendance analysis'!U21)</f>
        <v>2095</v>
      </c>
      <c r="E29" s="43">
        <f>CHOOSE(Rate,'Attendee giving analysis'!N21,'Attendee giving analysis'!O21,'Attendee giving analysis'!P21,'Attendee giving analysis'!Q21,'Attendee giving analysis'!R21,'Attendee giving analysis'!S21,'Attendee giving analysis'!T21)</f>
        <v>20.529197080291972</v>
      </c>
      <c r="G29" s="3">
        <f t="shared" si="1"/>
        <v>43008.667883211681</v>
      </c>
      <c r="I29" s="3">
        <v>1135</v>
      </c>
      <c r="J29" s="3">
        <f t="shared" si="0"/>
        <v>24169.372597824313</v>
      </c>
      <c r="M29" s="1">
        <v>13</v>
      </c>
      <c r="N29" s="44">
        <f>'Source data'!DQ20</f>
        <v>2192</v>
      </c>
      <c r="O29" s="50">
        <f>'Source data'!DM20+'Source data'!DN20+'Source data'!DO20</f>
        <v>45000</v>
      </c>
      <c r="P29" s="43">
        <f>'Source data'!DW20</f>
        <v>20.529197080291972</v>
      </c>
      <c r="R29" s="51">
        <f t="shared" si="2"/>
        <v>1057</v>
      </c>
      <c r="S29" s="3">
        <f t="shared" si="3"/>
        <v>20830.627402175687</v>
      </c>
      <c r="T29" s="3">
        <f>SUM(S$17:S29)</f>
        <v>347441.46530182875</v>
      </c>
      <c r="U29" s="3">
        <f t="shared" si="4"/>
        <v>-0.76540432748275222</v>
      </c>
    </row>
    <row r="30" spans="1:21">
      <c r="B30" s="1">
        <v>14</v>
      </c>
      <c r="C30" s="44">
        <f>CHOOSE(Attend,'Attendance analysis'!O22,'Attendance analysis'!P22,'Attendance analysis'!Q22,'Attendance analysis'!R22,'Attendance analysis'!S22,'Attendance analysis'!T22,'Attendance analysis'!U22)</f>
        <v>1886.2857142857174</v>
      </c>
      <c r="E30" s="43">
        <f>CHOOSE(Rate,'Attendee giving analysis'!N22,'Attendee giving analysis'!O22,'Attendee giving analysis'!P22,'Attendee giving analysis'!Q22,'Attendee giving analysis'!R22,'Attendee giving analysis'!S22,'Attendee giving analysis'!T22)</f>
        <v>42.630937880633375</v>
      </c>
      <c r="G30" s="3">
        <f t="shared" si="1"/>
        <v>80414.129110840571</v>
      </c>
      <c r="I30" s="3">
        <v>1040.0714285714348</v>
      </c>
      <c r="J30" s="3">
        <f t="shared" si="0"/>
        <v>45189.938313995532</v>
      </c>
      <c r="M30" s="1">
        <v>14</v>
      </c>
      <c r="N30" s="44">
        <f>'Source data'!DQ21</f>
        <v>1642</v>
      </c>
      <c r="O30" s="50">
        <f>'Source data'!DM21+'Source data'!DN21+'Source data'!DO21</f>
        <v>70000</v>
      </c>
      <c r="P30" s="43">
        <f>'Source data'!DW21</f>
        <v>42.630937880633375</v>
      </c>
      <c r="R30" s="51">
        <f t="shared" si="2"/>
        <v>601.92857142856519</v>
      </c>
      <c r="S30" s="3">
        <f t="shared" si="3"/>
        <v>24810.061686004468</v>
      </c>
      <c r="T30" s="3">
        <f>SUM(S$17:S30)</f>
        <v>372251.5269878332</v>
      </c>
      <c r="U30" s="3">
        <f t="shared" si="4"/>
        <v>-0.81794175647490164</v>
      </c>
    </row>
    <row r="31" spans="1:21">
      <c r="B31" s="1">
        <v>15</v>
      </c>
      <c r="C31" s="44">
        <f>CHOOSE(Attend,'Attendance analysis'!O23,'Attendance analysis'!P23,'Attendance analysis'!Q23,'Attendance analysis'!R23,'Attendance analysis'!S23,'Attendance analysis'!T23,'Attendance analysis'!U23)</f>
        <v>2111.75</v>
      </c>
      <c r="E31" s="43">
        <f>CHOOSE(Rate,'Attendee giving analysis'!N23,'Attendee giving analysis'!O23,'Attendee giving analysis'!P23,'Attendee giving analysis'!Q23,'Attendee giving analysis'!R23,'Attendee giving analysis'!S23,'Attendee giving analysis'!T23)</f>
        <v>34.849951597289447</v>
      </c>
      <c r="G31" s="3">
        <f t="shared" si="1"/>
        <v>73594.385285575991</v>
      </c>
      <c r="I31" s="3">
        <v>1128.7857142857101</v>
      </c>
      <c r="J31" s="3">
        <f t="shared" si="0"/>
        <v>41357.479936486197</v>
      </c>
      <c r="M31" s="1">
        <v>15</v>
      </c>
      <c r="N31" s="44">
        <f>'Source data'!DQ22</f>
        <v>2066</v>
      </c>
      <c r="O31" s="50">
        <f>'Source data'!DM22+'Source data'!DN22+'Source data'!DO22</f>
        <v>72000</v>
      </c>
      <c r="P31" s="43">
        <f>'Source data'!DW22</f>
        <v>34.849951597289447</v>
      </c>
      <c r="R31" s="51">
        <f t="shared" si="2"/>
        <v>937.21428571428987</v>
      </c>
      <c r="S31" s="3">
        <f t="shared" si="3"/>
        <v>30642.520063513803</v>
      </c>
      <c r="T31" s="3">
        <f>SUM(S$17:S31)</f>
        <v>402894.04705134698</v>
      </c>
      <c r="U31" s="3">
        <f t="shared" si="4"/>
        <v>-1.7889599455067895</v>
      </c>
    </row>
    <row r="32" spans="1:21">
      <c r="B32" s="1">
        <v>16</v>
      </c>
      <c r="C32" s="44">
        <f>CHOOSE(Attend,'Attendance analysis'!O24,'Attendance analysis'!P24,'Attendance analysis'!Q24,'Attendance analysis'!R24,'Attendance analysis'!S24,'Attendance analysis'!T24,'Attendance analysis'!U24)</f>
        <v>1754.3214285714284</v>
      </c>
      <c r="E32" s="43">
        <f>CHOOSE(Rate,'Attendee giving analysis'!N24,'Attendee giving analysis'!O24,'Attendee giving analysis'!P24,'Attendee giving analysis'!Q24,'Attendee giving analysis'!R24,'Attendee giving analysis'!S24,'Attendee giving analysis'!T24)</f>
        <v>37.5</v>
      </c>
      <c r="G32" s="3">
        <f t="shared" si="1"/>
        <v>65787.053571428565</v>
      </c>
      <c r="I32" s="3">
        <v>962.60714285714494</v>
      </c>
      <c r="J32" s="3">
        <f t="shared" si="0"/>
        <v>36970.031580577044</v>
      </c>
      <c r="M32" s="1">
        <v>16</v>
      </c>
      <c r="N32" s="44">
        <f>'Source data'!DQ23</f>
        <v>1840</v>
      </c>
      <c r="O32" s="50">
        <f>'Source data'!DM23+'Source data'!DN23+'Source data'!DO23</f>
        <v>69000</v>
      </c>
      <c r="P32" s="43">
        <f>'Source data'!DW23</f>
        <v>37.5</v>
      </c>
      <c r="R32" s="51">
        <f t="shared" si="2"/>
        <v>877.39285714285506</v>
      </c>
      <c r="S32" s="3">
        <f t="shared" si="3"/>
        <v>32029.968419422956</v>
      </c>
      <c r="T32" s="3">
        <f>SUM(S$17:S32)</f>
        <v>434924.01547076995</v>
      </c>
      <c r="U32" s="3">
        <f t="shared" si="4"/>
        <v>-0.90614715453400407</v>
      </c>
    </row>
    <row r="33" spans="2:21">
      <c r="B33" s="1">
        <v>17</v>
      </c>
      <c r="C33" s="44">
        <f>CHOOSE(Attend,'Attendance analysis'!O25,'Attendance analysis'!P25,'Attendance analysis'!Q25,'Attendance analysis'!R25,'Attendance analysis'!S25,'Attendance analysis'!T25,'Attendance analysis'!U25)</f>
        <v>2213.8214285714203</v>
      </c>
      <c r="E33" s="43">
        <f>CHOOSE(Rate,'Attendee giving analysis'!N25,'Attendee giving analysis'!O25,'Attendee giving analysis'!P25,'Attendee giving analysis'!Q25,'Attendee giving analysis'!R25,'Attendee giving analysis'!S25,'Attendee giving analysis'!T25)</f>
        <v>24.636058230683091</v>
      </c>
      <c r="G33" s="3">
        <f t="shared" si="1"/>
        <v>54539.833626619533</v>
      </c>
      <c r="I33" s="3">
        <v>1115.6428571428405</v>
      </c>
      <c r="J33" s="3">
        <f t="shared" si="0"/>
        <v>30649.485911179978</v>
      </c>
      <c r="M33" s="1">
        <v>17</v>
      </c>
      <c r="N33" s="44">
        <f>'Source data'!DQ24</f>
        <v>1786</v>
      </c>
      <c r="O33" s="50">
        <f>'Source data'!DM24+'Source data'!DN24+'Source data'!DO24</f>
        <v>44000</v>
      </c>
      <c r="P33" s="43">
        <f>'Source data'!DW24</f>
        <v>24.636058230683091</v>
      </c>
      <c r="R33" s="51">
        <f t="shared" si="2"/>
        <v>670.35714285715949</v>
      </c>
      <c r="S33" s="3">
        <f t="shared" si="3"/>
        <v>13350.514088820022</v>
      </c>
      <c r="T33" s="3">
        <f>SUM(S$17:S33)</f>
        <v>448274.52955958998</v>
      </c>
      <c r="U33" s="3">
        <f t="shared" si="4"/>
        <v>-2.8364305814384352</v>
      </c>
    </row>
    <row r="34" spans="2:21">
      <c r="B34" s="1">
        <v>18</v>
      </c>
      <c r="C34" s="44">
        <f>CHOOSE(Attend,'Attendance analysis'!O26,'Attendance analysis'!P26,'Attendance analysis'!Q26,'Attendance analysis'!R26,'Attendance analysis'!S26,'Attendance analysis'!T26,'Attendance analysis'!U26)</f>
        <v>1803.75</v>
      </c>
      <c r="E34" s="43">
        <f>CHOOSE(Rate,'Attendee giving analysis'!N26,'Attendee giving analysis'!O26,'Attendee giving analysis'!P26,'Attendee giving analysis'!Q26,'Attendee giving analysis'!R26,'Attendee giving analysis'!S26,'Attendee giving analysis'!T26)</f>
        <v>41.988950276243095</v>
      </c>
      <c r="G34" s="3">
        <f t="shared" si="1"/>
        <v>75737.569060773487</v>
      </c>
      <c r="I34" s="3">
        <v>995.5</v>
      </c>
      <c r="J34" s="3">
        <f t="shared" si="0"/>
        <v>42561.874533152601</v>
      </c>
      <c r="M34" s="1">
        <v>18</v>
      </c>
      <c r="N34" s="44">
        <f>'Source data'!DQ25</f>
        <v>1810</v>
      </c>
      <c r="O34" s="50">
        <f>'Source data'!DM25+'Source data'!DN25+'Source data'!DO25</f>
        <v>76000</v>
      </c>
      <c r="P34" s="43">
        <f>'Source data'!DW25</f>
        <v>41.988950276243095</v>
      </c>
      <c r="R34" s="51">
        <f t="shared" si="2"/>
        <v>814.5</v>
      </c>
      <c r="S34" s="3">
        <f t="shared" si="3"/>
        <v>33438.125466847399</v>
      </c>
      <c r="T34" s="3">
        <f>SUM(S$17:S34)</f>
        <v>481712.65502643737</v>
      </c>
      <c r="U34" s="3">
        <f t="shared" si="4"/>
        <v>-0.76531846625072575</v>
      </c>
    </row>
    <row r="35" spans="2:21">
      <c r="B35" s="1">
        <v>19</v>
      </c>
      <c r="C35" s="44">
        <f>CHOOSE(Attend,'Attendance analysis'!O27,'Attendance analysis'!P27,'Attendance analysis'!Q27,'Attendance analysis'!R27,'Attendance analysis'!S27,'Attendance analysis'!T27,'Attendance analysis'!U27)</f>
        <v>1723.9642857142826</v>
      </c>
      <c r="E35" s="43">
        <f>CHOOSE(Rate,'Attendee giving analysis'!N27,'Attendee giving analysis'!O27,'Attendee giving analysis'!P27,'Attendee giving analysis'!Q27,'Attendee giving analysis'!R27,'Attendee giving analysis'!S27,'Attendee giving analysis'!T27)</f>
        <v>37.703016241299302</v>
      </c>
      <c r="G35" s="3">
        <f t="shared" si="1"/>
        <v>64998.653463705545</v>
      </c>
      <c r="I35" s="3">
        <v>954.28571428571013</v>
      </c>
      <c r="J35" s="3">
        <f t="shared" si="0"/>
        <v>36526.978193955867</v>
      </c>
      <c r="M35" s="1">
        <v>19</v>
      </c>
      <c r="N35" s="44">
        <f>'Source data'!DQ26</f>
        <v>1724</v>
      </c>
      <c r="O35" s="50">
        <f>'Source data'!DM26+'Source data'!DN26+'Source data'!DO26</f>
        <v>65000</v>
      </c>
      <c r="P35" s="43">
        <f>'Source data'!DW26</f>
        <v>37.703016241299302</v>
      </c>
      <c r="R35" s="51">
        <f t="shared" si="2"/>
        <v>769.71428571428987</v>
      </c>
      <c r="S35" s="3">
        <f t="shared" si="3"/>
        <v>28473.021806044133</v>
      </c>
      <c r="T35" s="3">
        <f>SUM(S$17:S35)</f>
        <v>510185.67683248152</v>
      </c>
      <c r="U35" s="3">
        <f t="shared" si="4"/>
        <v>-0.57375731524144413</v>
      </c>
    </row>
    <row r="36" spans="2:21">
      <c r="B36" s="1">
        <v>20</v>
      </c>
      <c r="C36" s="44">
        <f>CHOOSE(Attend,'Attendance analysis'!O28,'Attendance analysis'!P28,'Attendance analysis'!Q28,'Attendance analysis'!R28,'Attendance analysis'!S28,'Attendance analysis'!T28,'Attendance analysis'!U28)</f>
        <v>1912.5</v>
      </c>
      <c r="E36" s="43">
        <f>CHOOSE(Rate,'Attendee giving analysis'!N28,'Attendee giving analysis'!O28,'Attendee giving analysis'!P28,'Attendee giving analysis'!Q28,'Attendee giving analysis'!R28,'Attendee giving analysis'!S28,'Attendee giving analysis'!T28)</f>
        <v>31.639004149377595</v>
      </c>
      <c r="G36" s="3">
        <f t="shared" si="1"/>
        <v>60509.595435684649</v>
      </c>
      <c r="I36" s="3">
        <v>1009.5357142857101</v>
      </c>
      <c r="J36" s="3">
        <f t="shared" si="0"/>
        <v>34004.284015491365</v>
      </c>
      <c r="M36" s="1">
        <v>20</v>
      </c>
      <c r="N36" s="44">
        <f>'Source data'!DQ27</f>
        <v>1928</v>
      </c>
      <c r="O36" s="50">
        <f>'Source data'!DM27+'Source data'!DN27+'Source data'!DO27</f>
        <v>61000</v>
      </c>
      <c r="P36" s="43">
        <f>'Source data'!DW27</f>
        <v>31.639004149377595</v>
      </c>
      <c r="R36" s="51">
        <f t="shared" si="2"/>
        <v>918.46428571428987</v>
      </c>
      <c r="S36" s="3">
        <f t="shared" si="3"/>
        <v>26995.715984508635</v>
      </c>
      <c r="T36" s="3">
        <f>SUM(S$17:S36)</f>
        <v>537181.39281699015</v>
      </c>
      <c r="U36" s="3">
        <f t="shared" si="4"/>
        <v>-2.0440875276225192</v>
      </c>
    </row>
    <row r="37" spans="2:21">
      <c r="B37" s="1">
        <v>21</v>
      </c>
      <c r="C37" s="44">
        <f>CHOOSE(Attend,'Attendance analysis'!O29,'Attendance analysis'!P29,'Attendance analysis'!Q29,'Attendance analysis'!R29,'Attendance analysis'!S29,'Attendance analysis'!T29,'Attendance analysis'!U29)</f>
        <v>1749.5</v>
      </c>
      <c r="E37" s="43">
        <f>CHOOSE(Rate,'Attendee giving analysis'!N29,'Attendee giving analysis'!O29,'Attendee giving analysis'!P29,'Attendee giving analysis'!Q29,'Attendee giving analysis'!R29,'Attendee giving analysis'!S29,'Attendee giving analysis'!T29)</f>
        <v>29.479768786127167</v>
      </c>
      <c r="G37" s="3">
        <f t="shared" si="1"/>
        <v>51574.855491329479</v>
      </c>
      <c r="I37" s="3">
        <v>961.89285714285506</v>
      </c>
      <c r="J37" s="3">
        <f t="shared" si="0"/>
        <v>28983.271521773124</v>
      </c>
      <c r="M37" s="1">
        <v>21</v>
      </c>
      <c r="N37" s="44">
        <f>'Source data'!DQ28</f>
        <v>1730</v>
      </c>
      <c r="O37" s="50">
        <f>'Source data'!DM28+'Source data'!DN28+'Source data'!DO28</f>
        <v>51000</v>
      </c>
      <c r="P37" s="43">
        <f>'Source data'!DW28</f>
        <v>29.479768786127167</v>
      </c>
      <c r="R37" s="51">
        <f t="shared" si="2"/>
        <v>768.10714285714494</v>
      </c>
      <c r="S37" s="3">
        <f t="shared" si="3"/>
        <v>22016.728478226876</v>
      </c>
      <c r="T37" s="3">
        <f>SUM(S$17:S37)</f>
        <v>559198.12129521708</v>
      </c>
      <c r="U37" s="3">
        <f t="shared" si="4"/>
        <v>-0.65172798770602114</v>
      </c>
    </row>
    <row r="38" spans="2:21">
      <c r="B38" s="1">
        <v>22</v>
      </c>
      <c r="C38" s="44">
        <f>CHOOSE(Attend,'Attendance analysis'!O30,'Attendance analysis'!P30,'Attendance analysis'!Q30,'Attendance analysis'!R30,'Attendance analysis'!S30,'Attendance analysis'!T30,'Attendance analysis'!U30)</f>
        <v>1663</v>
      </c>
      <c r="E38" s="43">
        <f>CHOOSE(Rate,'Attendee giving analysis'!N30,'Attendee giving analysis'!O30,'Attendee giving analysis'!P30,'Attendee giving analysis'!Q30,'Attendee giving analysis'!R30,'Attendee giving analysis'!S30,'Attendee giving analysis'!T30)</f>
        <v>38.770053475935832</v>
      </c>
      <c r="G38" s="3">
        <f t="shared" si="1"/>
        <v>64474.59893048129</v>
      </c>
      <c r="I38" s="3">
        <v>896.21428571428987</v>
      </c>
      <c r="J38" s="3">
        <f t="shared" si="0"/>
        <v>36232.477808371499</v>
      </c>
      <c r="M38" s="1">
        <v>22</v>
      </c>
      <c r="N38" s="44">
        <f>'Source data'!DQ29</f>
        <v>1496</v>
      </c>
      <c r="O38" s="50">
        <f>'Source data'!DM29+'Source data'!DN29+'Source data'!DO29</f>
        <v>58000</v>
      </c>
      <c r="P38" s="43">
        <f>'Source data'!DW29</f>
        <v>38.770053475935832</v>
      </c>
      <c r="R38" s="51">
        <f t="shared" si="2"/>
        <v>599.78571428571013</v>
      </c>
      <c r="S38" s="3">
        <f t="shared" si="3"/>
        <v>21767.522191628501</v>
      </c>
      <c r="T38" s="3">
        <f>SUM(S$17:S38)</f>
        <v>580965.64348684554</v>
      </c>
      <c r="U38" s="3">
        <f t="shared" si="4"/>
        <v>-1.6583110189393295</v>
      </c>
    </row>
    <row r="39" spans="2:21">
      <c r="B39" s="1">
        <v>23</v>
      </c>
      <c r="C39" s="44">
        <f>CHOOSE(Attend,'Attendance analysis'!O31,'Attendance analysis'!P31,'Attendance analysis'!Q31,'Attendance analysis'!R31,'Attendance analysis'!S31,'Attendance analysis'!T31,'Attendance analysis'!U31)</f>
        <v>1532.2857142857174</v>
      </c>
      <c r="E39" s="43">
        <f>CHOOSE(Rate,'Attendee giving analysis'!N31,'Attendee giving analysis'!O31,'Attendee giving analysis'!P31,'Attendee giving analysis'!Q31,'Attendee giving analysis'!R31,'Attendee giving analysis'!S31,'Attendee giving analysis'!T31)</f>
        <v>59.840876944837341</v>
      </c>
      <c r="G39" s="3">
        <f t="shared" si="1"/>
        <v>91693.320872903802</v>
      </c>
      <c r="I39" s="3">
        <v>787.14285714285506</v>
      </c>
      <c r="J39" s="3">
        <f t="shared" si="0"/>
        <v>51528.451030545621</v>
      </c>
      <c r="M39" s="1">
        <v>23</v>
      </c>
      <c r="N39" s="44">
        <f>'Source data'!DQ30</f>
        <v>1394</v>
      </c>
      <c r="O39" s="50">
        <f>'Source data'!DM30+'Source data'!DN30+'Source data'!DO30</f>
        <v>83000</v>
      </c>
      <c r="P39" s="43">
        <f>'Source data'!DW30</f>
        <v>59.540889526542323</v>
      </c>
      <c r="R39" s="51">
        <f t="shared" si="2"/>
        <v>606.85714285714494</v>
      </c>
      <c r="S39" s="3">
        <f t="shared" si="3"/>
        <v>31471.548969454379</v>
      </c>
      <c r="T39" s="3">
        <f>SUM(S$17:S39)</f>
        <v>612437.1924562999</v>
      </c>
      <c r="U39" s="3">
        <f t="shared" si="4"/>
        <v>-5.9217524360384957</v>
      </c>
    </row>
    <row r="40" spans="2:21">
      <c r="B40" s="1">
        <v>24</v>
      </c>
      <c r="C40" s="44">
        <f>CHOOSE(Attend,'Attendance analysis'!O32,'Attendance analysis'!P32,'Attendance analysis'!Q32,'Attendance analysis'!R32,'Attendance analysis'!S32,'Attendance analysis'!T32,'Attendance analysis'!U32)</f>
        <v>1394.2857142857138</v>
      </c>
      <c r="E40" s="43">
        <f>CHOOSE(Rate,'Attendee giving analysis'!N32,'Attendee giving analysis'!O32,'Attendee giving analysis'!P32,'Attendee giving analysis'!Q32,'Attendee giving analysis'!R32,'Attendee giving analysis'!S32,'Attendee giving analysis'!T32)</f>
        <v>33.157018813314039</v>
      </c>
      <c r="G40" s="3">
        <f t="shared" si="1"/>
        <v>46230.357659706417</v>
      </c>
      <c r="I40" s="3">
        <v>726</v>
      </c>
      <c r="J40" s="3">
        <f t="shared" si="0"/>
        <v>25979.849983781613</v>
      </c>
      <c r="M40" s="1">
        <v>24</v>
      </c>
      <c r="N40" s="44">
        <f>'Source data'!DQ31</f>
        <v>1400</v>
      </c>
      <c r="O40" s="50">
        <f>'Source data'!DM31+'Source data'!DN31+'Source data'!DO31</f>
        <v>61000</v>
      </c>
      <c r="P40" s="43">
        <f>'Source data'!DW31</f>
        <v>43.571428571428569</v>
      </c>
      <c r="R40" s="51">
        <f t="shared" si="2"/>
        <v>674</v>
      </c>
      <c r="S40" s="3">
        <f t="shared" si="3"/>
        <v>35020.150016218387</v>
      </c>
      <c r="T40" s="3">
        <f>SUM(S$17:S40)</f>
        <v>647457.34247251833</v>
      </c>
      <c r="U40" s="3">
        <f t="shared" si="4"/>
        <v>7.7865112383960451</v>
      </c>
    </row>
    <row r="41" spans="2:21">
      <c r="B41" s="1">
        <v>25</v>
      </c>
      <c r="C41" s="44">
        <f>CHOOSE(Attend,'Attendance analysis'!O33,'Attendance analysis'!P33,'Attendance analysis'!Q33,'Attendance analysis'!R33,'Attendance analysis'!S33,'Attendance analysis'!T33,'Attendance analysis'!U33)</f>
        <v>1309.1428571428571</v>
      </c>
      <c r="E41" s="43">
        <f>CHOOSE(Rate,'Attendee giving analysis'!N33,'Attendee giving analysis'!O33,'Attendee giving analysis'!P33,'Attendee giving analysis'!Q33,'Attendee giving analysis'!R33,'Attendee giving analysis'!S33,'Attendee giving analysis'!T33)</f>
        <v>32.56707317073171</v>
      </c>
      <c r="G41" s="3">
        <f t="shared" si="1"/>
        <v>42634.951219512201</v>
      </c>
      <c r="I41" s="3">
        <v>691.14285714285506</v>
      </c>
      <c r="J41" s="3">
        <f t="shared" si="0"/>
        <v>23959.356855986043</v>
      </c>
      <c r="M41" s="1">
        <v>25</v>
      </c>
      <c r="N41" s="44">
        <f>'Source data'!DQ32</f>
        <v>1440</v>
      </c>
      <c r="O41" s="50">
        <f>'Source data'!DM32+'Source data'!DN32+'Source data'!DO32</f>
        <v>107000</v>
      </c>
      <c r="P41" s="43">
        <f>'Source data'!DW32</f>
        <v>74.305555555555557</v>
      </c>
      <c r="R41" s="51">
        <f t="shared" si="2"/>
        <v>748.85714285714494</v>
      </c>
      <c r="S41" s="3">
        <f t="shared" si="3"/>
        <v>83040.643144013957</v>
      </c>
      <c r="T41" s="3">
        <f>SUM(S$17:S41)</f>
        <v>730497.98561653227</v>
      </c>
      <c r="U41" s="3">
        <f t="shared" si="4"/>
        <v>39.639268248423932</v>
      </c>
    </row>
    <row r="42" spans="2:21">
      <c r="B42" s="1">
        <v>26</v>
      </c>
      <c r="C42" s="44">
        <f>CHOOSE(Attend,'Attendance analysis'!O34,'Attendance analysis'!P34,'Attendance analysis'!Q34,'Attendance analysis'!R34,'Attendance analysis'!S34,'Attendance analysis'!T34,'Attendance analysis'!U34)</f>
        <v>1356.2857142857156</v>
      </c>
      <c r="E42" s="43">
        <f>CHOOSE(Rate,'Attendee giving analysis'!N34,'Attendee giving analysis'!O34,'Attendee giving analysis'!P34,'Attendee giving analysis'!Q34,'Attendee giving analysis'!R34,'Attendee giving analysis'!S34,'Attendee giving analysis'!T34)</f>
        <v>45.436708860759495</v>
      </c>
      <c r="G42" s="3">
        <f t="shared" si="1"/>
        <v>61625.159132007291</v>
      </c>
      <c r="I42" s="3">
        <v>721.71428571428987</v>
      </c>
      <c r="J42" s="3">
        <f t="shared" si="0"/>
        <v>34631.191938011631</v>
      </c>
      <c r="M42" s="1">
        <v>26</v>
      </c>
      <c r="N42" s="44">
        <f>'Source data'!DQ33</f>
        <v>1494</v>
      </c>
      <c r="O42" s="50">
        <f>'Source data'!DM33+'Source data'!DN33+'Source data'!DO33</f>
        <v>100000</v>
      </c>
      <c r="P42" s="43">
        <f>'Source data'!DW33</f>
        <v>66.934404283801868</v>
      </c>
      <c r="R42" s="51">
        <f t="shared" si="2"/>
        <v>772.28571428571013</v>
      </c>
      <c r="S42" s="3">
        <f t="shared" si="3"/>
        <v>65368.808061988369</v>
      </c>
      <c r="T42" s="3">
        <f>SUM(S$17:S42)</f>
        <v>795866.7936785206</v>
      </c>
      <c r="U42" s="3">
        <f t="shared" si="4"/>
        <v>18.949775707776531</v>
      </c>
    </row>
    <row r="43" spans="2:21">
      <c r="B43" s="1">
        <v>27</v>
      </c>
      <c r="C43" s="44">
        <f>CHOOSE(Attend,'Attendance analysis'!O35,'Attendance analysis'!P35,'Attendance analysis'!Q35,'Attendance analysis'!R35,'Attendance analysis'!S35,'Attendance analysis'!T35,'Attendance analysis'!U35)</f>
        <v>1408</v>
      </c>
      <c r="E43" s="43">
        <f>CHOOSE(Rate,'Attendee giving analysis'!N35,'Attendee giving analysis'!O35,'Attendee giving analysis'!P35,'Attendee giving analysis'!Q35,'Attendee giving analysis'!R35,'Attendee giving analysis'!S35,'Attendee giving analysis'!T35)</f>
        <v>44.539625360230545</v>
      </c>
      <c r="G43" s="3">
        <f t="shared" si="1"/>
        <v>62711.792507204605</v>
      </c>
      <c r="I43" s="3">
        <v>746.28571428571013</v>
      </c>
      <c r="J43" s="3">
        <f t="shared" si="0"/>
        <v>35241.842028214189</v>
      </c>
      <c r="M43" s="1">
        <v>27</v>
      </c>
      <c r="N43" s="44">
        <f>'Source data'!DQ34</f>
        <v>1248</v>
      </c>
      <c r="O43" s="50">
        <f>'Source data'!DM34+'Source data'!DN34+'Source data'!DO34</f>
        <v>72000</v>
      </c>
      <c r="P43" s="43">
        <f>'Source data'!DW34</f>
        <v>57.692307692307693</v>
      </c>
      <c r="R43" s="51">
        <f t="shared" si="2"/>
        <v>501.71428571428987</v>
      </c>
      <c r="S43" s="3">
        <f t="shared" si="3"/>
        <v>36758.157971785811</v>
      </c>
      <c r="T43" s="3">
        <f>SUM(S$17:S43)</f>
        <v>832624.95165030635</v>
      </c>
      <c r="U43" s="3">
        <f t="shared" si="4"/>
        <v>10.469318757104652</v>
      </c>
    </row>
    <row r="44" spans="2:21">
      <c r="B44" s="1">
        <v>28</v>
      </c>
      <c r="C44" s="44">
        <f>CHOOSE(Attend,'Attendance analysis'!O36,'Attendance analysis'!P36,'Attendance analysis'!Q36,'Attendance analysis'!R36,'Attendance analysis'!S36,'Attendance analysis'!T36,'Attendance analysis'!U36)</f>
        <v>1426.5714285714275</v>
      </c>
      <c r="E44" s="43">
        <f>CHOOSE(Rate,'Attendee giving analysis'!N36,'Attendee giving analysis'!O36,'Attendee giving analysis'!P36,'Attendee giving analysis'!Q36,'Attendee giving analysis'!R36,'Attendee giving analysis'!S36,'Attendee giving analysis'!T36)</f>
        <v>30.571530758226036</v>
      </c>
      <c r="G44" s="3">
        <f t="shared" si="1"/>
        <v>43612.472307377851</v>
      </c>
      <c r="I44" s="3">
        <v>742.57142857142026</v>
      </c>
      <c r="J44" s="3">
        <f t="shared" si="0"/>
        <v>24508.689643018908</v>
      </c>
      <c r="M44" s="1">
        <v>28</v>
      </c>
      <c r="N44" s="44">
        <f>'Source data'!DQ35</f>
        <v>1372</v>
      </c>
      <c r="O44" s="50">
        <f>'Source data'!DM35+'Source data'!DN35+'Source data'!DO35</f>
        <v>72000</v>
      </c>
      <c r="P44" s="43">
        <f>'Source data'!DW35</f>
        <v>52.478134110787174</v>
      </c>
      <c r="R44" s="51">
        <f t="shared" si="2"/>
        <v>629.42857142857974</v>
      </c>
      <c r="S44" s="3">
        <f t="shared" si="3"/>
        <v>47491.310356981092</v>
      </c>
      <c r="T44" s="3">
        <f>SUM(S$17:S44)</f>
        <v>880116.26200728747</v>
      </c>
      <c r="U44" s="3">
        <f t="shared" si="4"/>
        <v>19.47297299090755</v>
      </c>
    </row>
    <row r="45" spans="2:21">
      <c r="B45" s="1">
        <v>29</v>
      </c>
      <c r="C45" s="44">
        <f>CHOOSE(Attend,'Attendance analysis'!O37,'Attendance analysis'!P37,'Attendance analysis'!Q37,'Attendance analysis'!R37,'Attendance analysis'!S37,'Attendance analysis'!T37,'Attendance analysis'!U37)</f>
        <v>1411.7142857142858</v>
      </c>
      <c r="E45" s="43">
        <f>CHOOSE(Rate,'Attendee giving analysis'!N37,'Attendee giving analysis'!O37,'Attendee giving analysis'!P37,'Attendee giving analysis'!Q37,'Attendee giving analysis'!R37,'Attendee giving analysis'!S37,'Attendee giving analysis'!T37)</f>
        <v>48.147014925373135</v>
      </c>
      <c r="G45" s="3">
        <f t="shared" si="1"/>
        <v>67969.828784648198</v>
      </c>
      <c r="I45" s="3">
        <v>728.85714285714494</v>
      </c>
      <c r="J45" s="3">
        <f t="shared" si="0"/>
        <v>38196.6751857419</v>
      </c>
      <c r="M45" s="1">
        <v>29</v>
      </c>
      <c r="N45" s="44">
        <f>'Source data'!DQ36</f>
        <v>1400</v>
      </c>
      <c r="O45" s="50">
        <f>'Source data'!DM36+'Source data'!DN36+'Source data'!DO36</f>
        <v>60000</v>
      </c>
      <c r="P45" s="43">
        <f>'Source data'!DW36</f>
        <v>42.857142857142854</v>
      </c>
      <c r="R45" s="51">
        <f t="shared" si="2"/>
        <v>671.14285714285506</v>
      </c>
      <c r="S45" s="3">
        <f t="shared" si="3"/>
        <v>21803.3248142581</v>
      </c>
      <c r="T45" s="3">
        <f>SUM(S$17:S45)</f>
        <v>901919.58682154561</v>
      </c>
      <c r="U45" s="3">
        <f t="shared" si="4"/>
        <v>-9.5491147477557234</v>
      </c>
    </row>
    <row r="46" spans="2:21">
      <c r="B46" s="1">
        <v>30</v>
      </c>
      <c r="C46" s="44">
        <f>CHOOSE(Attend,'Attendance analysis'!O38,'Attendance analysis'!P38,'Attendance analysis'!Q38,'Attendance analysis'!R38,'Attendance analysis'!S38,'Attendance analysis'!T38,'Attendance analysis'!U38)</f>
        <v>1430.5714285714275</v>
      </c>
      <c r="E46" s="43">
        <f>CHOOSE(Rate,'Attendee giving analysis'!N38,'Attendee giving analysis'!O38,'Attendee giving analysis'!P38,'Attendee giving analysis'!Q38,'Attendee giving analysis'!R38,'Attendee giving analysis'!S38,'Attendee giving analysis'!T38)</f>
        <v>42.269746646795831</v>
      </c>
      <c r="G46" s="3">
        <f t="shared" si="1"/>
        <v>60469.89184585902</v>
      </c>
      <c r="I46" s="3">
        <v>722.85714285714494</v>
      </c>
      <c r="J46" s="3">
        <f t="shared" si="0"/>
        <v>33981.97198158758</v>
      </c>
      <c r="M46" s="1">
        <v>30</v>
      </c>
      <c r="N46" s="44">
        <f>'Source data'!DQ37</f>
        <v>1286</v>
      </c>
      <c r="O46" s="50">
        <f>'Source data'!DM37+'Source data'!DN37+'Source data'!DO37</f>
        <v>60000</v>
      </c>
      <c r="P46" s="43">
        <f>'Source data'!DW37</f>
        <v>46.65629860031104</v>
      </c>
      <c r="R46" s="51">
        <f t="shared" si="2"/>
        <v>563.14285714285506</v>
      </c>
      <c r="S46" s="3">
        <f t="shared" si="3"/>
        <v>26018.02801841242</v>
      </c>
      <c r="T46" s="3">
        <f>SUM(S$17:S46)</f>
        <v>927937.61483995803</v>
      </c>
      <c r="U46" s="3">
        <f t="shared" si="4"/>
        <v>-0.3543345757981271</v>
      </c>
    </row>
    <row r="47" spans="2:21">
      <c r="B47" s="1">
        <v>31</v>
      </c>
      <c r="C47" s="44">
        <f>CHOOSE(Attend,'Attendance analysis'!O39,'Attendance analysis'!P39,'Attendance analysis'!Q39,'Attendance analysis'!R39,'Attendance analysis'!S39,'Attendance analysis'!T39,'Attendance analysis'!U39)</f>
        <v>1177.1428571428551</v>
      </c>
      <c r="E47" s="43">
        <f>CHOOSE(Rate,'Attendee giving analysis'!N39,'Attendee giving analysis'!O39,'Attendee giving analysis'!P39,'Attendee giving analysis'!Q39,'Attendee giving analysis'!R39,'Attendee giving analysis'!S39,'Attendee giving analysis'!T39)</f>
        <v>30.11304347826087</v>
      </c>
      <c r="G47" s="3">
        <f t="shared" si="1"/>
        <v>35447.354037267018</v>
      </c>
      <c r="I47" s="3">
        <v>641.57142857142753</v>
      </c>
      <c r="J47" s="3">
        <f t="shared" si="0"/>
        <v>19920.177710691773</v>
      </c>
      <c r="M47" s="1">
        <v>31</v>
      </c>
      <c r="N47" s="44">
        <f>'Source data'!DQ38</f>
        <v>0</v>
      </c>
      <c r="O47" s="50">
        <f>'Source data'!DM38+'Source data'!DN38+'Source data'!DO38</f>
        <v>0</v>
      </c>
      <c r="P47" s="43" t="e">
        <f>'Source data'!DW38</f>
        <v>#DIV/0!</v>
      </c>
      <c r="R47" s="51">
        <f t="shared" si="2"/>
        <v>-641.57142857142753</v>
      </c>
      <c r="S47" s="3">
        <f t="shared" si="3"/>
        <v>-19920.177710691773</v>
      </c>
      <c r="T47" s="3">
        <f>SUM(S$17:S47)</f>
        <v>908017.43712926621</v>
      </c>
      <c r="U47" s="3" t="e">
        <f t="shared" si="4"/>
        <v>#DIV/0!</v>
      </c>
    </row>
    <row r="48" spans="2:21">
      <c r="B48" s="1">
        <v>32</v>
      </c>
      <c r="C48" s="44">
        <f>CHOOSE(Attend,'Attendance analysis'!O40,'Attendance analysis'!P40,'Attendance analysis'!Q40,'Attendance analysis'!R40,'Attendance analysis'!S40,'Attendance analysis'!T40,'Attendance analysis'!U40)</f>
        <v>1311.1428571428551</v>
      </c>
      <c r="E48" s="43">
        <f>CHOOSE(Rate,'Attendee giving analysis'!N40,'Attendee giving analysis'!O40,'Attendee giving analysis'!P40,'Attendee giving analysis'!Q40,'Attendee giving analysis'!R40,'Attendee giving analysis'!S40,'Attendee giving analysis'!T40)</f>
        <v>43.596394984326018</v>
      </c>
      <c r="G48" s="3">
        <f t="shared" si="1"/>
        <v>57161.10188087765</v>
      </c>
      <c r="I48" s="3">
        <v>685.28571428571013</v>
      </c>
      <c r="J48" s="3">
        <f t="shared" si="0"/>
        <v>32122.547324940788</v>
      </c>
      <c r="M48" s="1">
        <v>32</v>
      </c>
      <c r="N48" s="44">
        <f>'Source data'!DQ39</f>
        <v>0</v>
      </c>
      <c r="O48" s="50">
        <f>'Source data'!DM39+'Source data'!DN39+'Source data'!DO39</f>
        <v>0</v>
      </c>
      <c r="P48" s="43" t="e">
        <f>'Source data'!DW39</f>
        <v>#DIV/0!</v>
      </c>
      <c r="R48" s="51">
        <f t="shared" si="2"/>
        <v>-685.28571428571013</v>
      </c>
      <c r="S48" s="3">
        <f t="shared" si="3"/>
        <v>-32122.547324940788</v>
      </c>
      <c r="T48" s="3">
        <f>SUM(S$17:S48)</f>
        <v>875894.88980432542</v>
      </c>
      <c r="U48" s="3" t="e">
        <f t="shared" si="4"/>
        <v>#DIV/0!</v>
      </c>
    </row>
    <row r="49" spans="2:21">
      <c r="B49" s="1">
        <v>33</v>
      </c>
      <c r="C49" s="44">
        <f>CHOOSE(Attend,'Attendance analysis'!O41,'Attendance analysis'!P41,'Attendance analysis'!Q41,'Attendance analysis'!R41,'Attendance analysis'!S41,'Attendance analysis'!T41,'Attendance analysis'!U41)</f>
        <v>1396.2857142857174</v>
      </c>
      <c r="E49" s="43">
        <f>CHOOSE(Rate,'Attendee giving analysis'!N41,'Attendee giving analysis'!O41,'Attendee giving analysis'!P41,'Attendee giving analysis'!Q41,'Attendee giving analysis'!R41,'Attendee giving analysis'!S41,'Attendee giving analysis'!T41)</f>
        <v>35.623801916932905</v>
      </c>
      <c r="G49" s="3">
        <f t="shared" si="1"/>
        <v>49741.005705157571</v>
      </c>
      <c r="I49" s="3">
        <v>739.71428571428987</v>
      </c>
      <c r="J49" s="3">
        <f t="shared" ref="J49:J68" si="5">(G49/$G$70)*BudgetedTotalRevenue</f>
        <v>27952.711847365477</v>
      </c>
      <c r="M49" s="1">
        <v>33</v>
      </c>
      <c r="N49" s="44">
        <f>'Source data'!DQ40</f>
        <v>0</v>
      </c>
      <c r="O49" s="50">
        <f>'Source data'!DM40+'Source data'!DN40+'Source data'!DO40</f>
        <v>0</v>
      </c>
      <c r="P49" s="43" t="e">
        <f>'Source data'!DW40</f>
        <v>#DIV/0!</v>
      </c>
      <c r="R49" s="51">
        <f t="shared" si="2"/>
        <v>-739.71428571428987</v>
      </c>
      <c r="S49" s="3">
        <f t="shared" si="3"/>
        <v>-27952.711847365477</v>
      </c>
      <c r="T49" s="3">
        <f>SUM(S$17:S49)</f>
        <v>847942.17795695993</v>
      </c>
      <c r="U49" s="3" t="e">
        <f t="shared" si="4"/>
        <v>#DIV/0!</v>
      </c>
    </row>
    <row r="50" spans="2:21">
      <c r="B50" s="1">
        <v>34</v>
      </c>
      <c r="C50" s="44">
        <f>CHOOSE(Attend,'Attendance analysis'!O42,'Attendance analysis'!P42,'Attendance analysis'!Q42,'Attendance analysis'!R42,'Attendance analysis'!S42,'Attendance analysis'!T42,'Attendance analysis'!U42)</f>
        <v>1682.5714285714203</v>
      </c>
      <c r="E50" s="43">
        <f>CHOOSE(Rate,'Attendee giving analysis'!N42,'Attendee giving analysis'!O42,'Attendee giving analysis'!P42,'Attendee giving analysis'!Q42,'Attendee giving analysis'!R42,'Attendee giving analysis'!S42,'Attendee giving analysis'!T42)</f>
        <v>30.475576662143826</v>
      </c>
      <c r="G50" s="3">
        <f t="shared" si="1"/>
        <v>51277.334560961172</v>
      </c>
      <c r="I50" s="3">
        <v>892.14285714285506</v>
      </c>
      <c r="J50" s="3">
        <f t="shared" si="5"/>
        <v>28816.075126822005</v>
      </c>
      <c r="M50" s="1">
        <v>34</v>
      </c>
      <c r="N50" s="44">
        <f>'Source data'!DQ41</f>
        <v>0</v>
      </c>
      <c r="O50" s="50">
        <f>'Source data'!DM41+'Source data'!DN41+'Source data'!DO41</f>
        <v>0</v>
      </c>
      <c r="P50" s="43" t="e">
        <f>'Source data'!DW41</f>
        <v>#DIV/0!</v>
      </c>
      <c r="R50" s="51">
        <f t="shared" si="2"/>
        <v>-892.14285714285506</v>
      </c>
      <c r="S50" s="3">
        <f t="shared" si="3"/>
        <v>-28816.075126822005</v>
      </c>
      <c r="T50" s="3">
        <f>SUM(S$17:S50)</f>
        <v>819126.10283013794</v>
      </c>
      <c r="U50" s="3" t="e">
        <f t="shared" si="4"/>
        <v>#DIV/0!</v>
      </c>
    </row>
    <row r="51" spans="2:21">
      <c r="B51" s="1">
        <v>35</v>
      </c>
      <c r="C51" s="44">
        <f>CHOOSE(Attend,'Attendance analysis'!O43,'Attendance analysis'!P43,'Attendance analysis'!Q43,'Attendance analysis'!R43,'Attendance analysis'!S43,'Attendance analysis'!T43,'Attendance analysis'!U43)</f>
        <v>2150.5714285714284</v>
      </c>
      <c r="E51" s="43">
        <f>CHOOSE(Rate,'Attendee giving analysis'!N43,'Attendee giving analysis'!O43,'Attendee giving analysis'!P43,'Attendee giving analysis'!Q43,'Attendee giving analysis'!R43,'Attendee giving analysis'!S43,'Attendee giving analysis'!T43)</f>
        <v>22.475263157894737</v>
      </c>
      <c r="G51" s="3">
        <f t="shared" si="1"/>
        <v>48334.65879699248</v>
      </c>
      <c r="I51" s="3">
        <v>1109.2857142857101</v>
      </c>
      <c r="J51" s="3">
        <f t="shared" si="5"/>
        <v>27162.393892911732</v>
      </c>
      <c r="M51" s="1">
        <v>35</v>
      </c>
      <c r="N51" s="44">
        <f>'Source data'!DQ42</f>
        <v>0</v>
      </c>
      <c r="O51" s="50">
        <f>'Source data'!DM42+'Source data'!DN42+'Source data'!DO42</f>
        <v>0</v>
      </c>
      <c r="P51" s="43" t="e">
        <f>'Source data'!DW42</f>
        <v>#DIV/0!</v>
      </c>
      <c r="R51" s="51">
        <f t="shared" si="2"/>
        <v>-1109.2857142857101</v>
      </c>
      <c r="S51" s="3">
        <f t="shared" si="3"/>
        <v>-27162.393892911732</v>
      </c>
      <c r="T51" s="3">
        <f>SUM(S$17:S51)</f>
        <v>791963.70893722621</v>
      </c>
      <c r="U51" s="3" t="e">
        <f t="shared" si="4"/>
        <v>#DIV/0!</v>
      </c>
    </row>
    <row r="52" spans="2:21">
      <c r="B52" s="1">
        <v>36</v>
      </c>
      <c r="C52" s="44">
        <f>CHOOSE(Attend,'Attendance analysis'!O44,'Attendance analysis'!P44,'Attendance analysis'!Q44,'Attendance analysis'!R44,'Attendance analysis'!S44,'Attendance analysis'!T44,'Attendance analysis'!U44)</f>
        <v>2247.1428571428696</v>
      </c>
      <c r="E52" s="43">
        <f>CHOOSE(Rate,'Attendee giving analysis'!N44,'Attendee giving analysis'!O44,'Attendee giving analysis'!P44,'Attendee giving analysis'!Q44,'Attendee giving analysis'!R44,'Attendee giving analysis'!S44,'Attendee giving analysis'!T44)</f>
        <v>33.831043956043956</v>
      </c>
      <c r="G52" s="3">
        <f t="shared" si="1"/>
        <v>76023.188775510629</v>
      </c>
      <c r="I52" s="3">
        <v>1151.7142857142899</v>
      </c>
      <c r="J52" s="3">
        <f t="shared" si="5"/>
        <v>42722.382859648824</v>
      </c>
      <c r="M52" s="1">
        <v>36</v>
      </c>
      <c r="N52" s="44">
        <f>'Source data'!DQ43</f>
        <v>0</v>
      </c>
      <c r="O52" s="50">
        <f>'Source data'!DM43+'Source data'!DN43+'Source data'!DO43</f>
        <v>0</v>
      </c>
      <c r="P52" s="43" t="e">
        <f>'Source data'!DW43</f>
        <v>#DIV/0!</v>
      </c>
      <c r="R52" s="51">
        <f t="shared" si="2"/>
        <v>-1151.7142857142899</v>
      </c>
      <c r="S52" s="3">
        <f t="shared" si="3"/>
        <v>-42722.382859648824</v>
      </c>
      <c r="T52" s="3">
        <f>SUM(S$17:S52)</f>
        <v>749241.32607757743</v>
      </c>
      <c r="U52" s="3" t="e">
        <f t="shared" si="4"/>
        <v>#DIV/0!</v>
      </c>
    </row>
    <row r="53" spans="2:21">
      <c r="B53" s="1">
        <v>37</v>
      </c>
      <c r="C53" s="44">
        <f>CHOOSE(Attend,'Attendance analysis'!O45,'Attendance analysis'!P45,'Attendance analysis'!Q45,'Attendance analysis'!R45,'Attendance analysis'!S45,'Attendance analysis'!T45,'Attendance analysis'!U45)</f>
        <v>2391.1428571428551</v>
      </c>
      <c r="E53" s="43">
        <f>CHOOSE(Rate,'Attendee giving analysis'!N45,'Attendee giving analysis'!O45,'Attendee giving analysis'!P45,'Attendee giving analysis'!Q45,'Attendee giving analysis'!R45,'Attendee giving analysis'!S45,'Attendee giving analysis'!T45)</f>
        <v>23.858196010407632</v>
      </c>
      <c r="G53" s="3">
        <f t="shared" si="1"/>
        <v>57048.35497460037</v>
      </c>
      <c r="I53" s="3">
        <v>1225.5714285714494</v>
      </c>
      <c r="J53" s="3">
        <f t="shared" si="5"/>
        <v>32059.187492581706</v>
      </c>
      <c r="M53" s="1">
        <v>37</v>
      </c>
      <c r="N53" s="44">
        <f>'Source data'!DQ44</f>
        <v>0</v>
      </c>
      <c r="O53" s="50">
        <f>'Source data'!DM44+'Source data'!DN44+'Source data'!DO44</f>
        <v>0</v>
      </c>
      <c r="P53" s="43" t="e">
        <f>'Source data'!DW44</f>
        <v>#DIV/0!</v>
      </c>
      <c r="R53" s="51">
        <f t="shared" si="2"/>
        <v>-1225.5714285714494</v>
      </c>
      <c r="S53" s="3">
        <f t="shared" si="3"/>
        <v>-32059.187492581706</v>
      </c>
      <c r="T53" s="3">
        <f>SUM(S$17:S53)</f>
        <v>717182.13858499576</v>
      </c>
      <c r="U53" s="3" t="e">
        <f t="shared" si="4"/>
        <v>#DIV/0!</v>
      </c>
    </row>
    <row r="54" spans="2:21">
      <c r="B54" s="1">
        <v>38</v>
      </c>
      <c r="C54" s="44">
        <f>CHOOSE(Attend,'Attendance analysis'!O46,'Attendance analysis'!P46,'Attendance analysis'!Q46,'Attendance analysis'!R46,'Attendance analysis'!S46,'Attendance analysis'!T46,'Attendance analysis'!U46)</f>
        <v>2161.4285714285725</v>
      </c>
      <c r="E54" s="43">
        <f>CHOOSE(Rate,'Attendee giving analysis'!N46,'Attendee giving analysis'!O46,'Attendee giving analysis'!P46,'Attendee giving analysis'!Q46,'Attendee giving analysis'!R46,'Attendee giving analysis'!S46,'Attendee giving analysis'!T46)</f>
        <v>32.162420382165607</v>
      </c>
      <c r="G54" s="3">
        <f t="shared" si="1"/>
        <v>69516.774340309406</v>
      </c>
      <c r="I54" s="3">
        <v>1123.4285714285797</v>
      </c>
      <c r="J54" s="3">
        <f t="shared" si="5"/>
        <v>39066.004680550992</v>
      </c>
      <c r="M54" s="1">
        <v>38</v>
      </c>
      <c r="N54" s="44">
        <f>'Source data'!DQ45</f>
        <v>0</v>
      </c>
      <c r="O54" s="50">
        <f>'Source data'!DM45+'Source data'!DN45+'Source data'!DO45</f>
        <v>0</v>
      </c>
      <c r="P54" s="43" t="e">
        <f>'Source data'!DW45</f>
        <v>#DIV/0!</v>
      </c>
      <c r="R54" s="51">
        <f t="shared" si="2"/>
        <v>-1123.4285714285797</v>
      </c>
      <c r="S54" s="3">
        <f t="shared" si="3"/>
        <v>-39066.004680550992</v>
      </c>
      <c r="T54" s="3">
        <f>SUM(S$17:S54)</f>
        <v>678116.13390444475</v>
      </c>
      <c r="U54" s="3" t="e">
        <f t="shared" si="4"/>
        <v>#DIV/0!</v>
      </c>
    </row>
    <row r="55" spans="2:21">
      <c r="B55" s="1">
        <v>39</v>
      </c>
      <c r="C55" s="44">
        <f>CHOOSE(Attend,'Attendance analysis'!O47,'Attendance analysis'!P47,'Attendance analysis'!Q47,'Attendance analysis'!R47,'Attendance analysis'!S47,'Attendance analysis'!T47,'Attendance analysis'!U47)</f>
        <v>2023.4285714285725</v>
      </c>
      <c r="E55" s="43">
        <f>CHOOSE(Rate,'Attendee giving analysis'!N47,'Attendee giving analysis'!O47,'Attendee giving analysis'!P47,'Attendee giving analysis'!Q47,'Attendee giving analysis'!R47,'Attendee giving analysis'!S47,'Attendee giving analysis'!T47)</f>
        <v>42.292537313432838</v>
      </c>
      <c r="G55" s="3">
        <f t="shared" si="1"/>
        <v>85575.928358208999</v>
      </c>
      <c r="I55" s="3">
        <v>1050.5714285714203</v>
      </c>
      <c r="J55" s="3">
        <f t="shared" si="5"/>
        <v>48090.689614258779</v>
      </c>
      <c r="M55" s="1">
        <v>39</v>
      </c>
      <c r="N55" s="44">
        <f>'Source data'!DQ46</f>
        <v>0</v>
      </c>
      <c r="O55" s="50">
        <f>'Source data'!DM46+'Source data'!DN46+'Source data'!DO46</f>
        <v>0</v>
      </c>
      <c r="P55" s="43" t="e">
        <f>'Source data'!DW46</f>
        <v>#DIV/0!</v>
      </c>
      <c r="R55" s="51">
        <f t="shared" si="2"/>
        <v>-1050.5714285714203</v>
      </c>
      <c r="S55" s="3">
        <f t="shared" si="3"/>
        <v>-48090.689614258779</v>
      </c>
      <c r="T55" s="3">
        <f>SUM(S$17:S55)</f>
        <v>630025.44429018593</v>
      </c>
      <c r="U55" s="3" t="e">
        <f t="shared" si="4"/>
        <v>#DIV/0!</v>
      </c>
    </row>
    <row r="56" spans="2:21">
      <c r="B56" s="1">
        <v>40</v>
      </c>
      <c r="C56" s="44">
        <f>CHOOSE(Attend,'Attendance analysis'!O48,'Attendance analysis'!P48,'Attendance analysis'!Q48,'Attendance analysis'!R48,'Attendance analysis'!S48,'Attendance analysis'!T48,'Attendance analysis'!U48)</f>
        <v>1930</v>
      </c>
      <c r="E56" s="43">
        <f>CHOOSE(Rate,'Attendee giving analysis'!N48,'Attendee giving analysis'!O48,'Attendee giving analysis'!P48,'Attendee giving analysis'!Q48,'Attendee giving analysis'!R48,'Attendee giving analysis'!S48,'Attendee giving analysis'!T48)</f>
        <v>24.747373447946512</v>
      </c>
      <c r="G56" s="3">
        <f t="shared" si="1"/>
        <v>47762.43075453677</v>
      </c>
      <c r="I56" s="3">
        <v>1032.4285714285797</v>
      </c>
      <c r="J56" s="3">
        <f t="shared" si="5"/>
        <v>26840.821673874594</v>
      </c>
      <c r="M56" s="1">
        <v>40</v>
      </c>
      <c r="N56" s="44">
        <f>'Source data'!DQ47</f>
        <v>0</v>
      </c>
      <c r="O56" s="50">
        <f>'Source data'!DM47+'Source data'!DN47+'Source data'!DO47</f>
        <v>0</v>
      </c>
      <c r="P56" s="43" t="e">
        <f>'Source data'!DW47</f>
        <v>#DIV/0!</v>
      </c>
      <c r="R56" s="51">
        <f t="shared" si="2"/>
        <v>-1032.4285714285797</v>
      </c>
      <c r="S56" s="3">
        <f t="shared" si="3"/>
        <v>-26840.821673874594</v>
      </c>
      <c r="T56" s="3">
        <f>SUM(S$17:S56)</f>
        <v>603184.6226163113</v>
      </c>
      <c r="U56" s="3" t="e">
        <f t="shared" si="4"/>
        <v>#DIV/0!</v>
      </c>
    </row>
    <row r="57" spans="2:21">
      <c r="B57" s="1">
        <v>41</v>
      </c>
      <c r="C57" s="44">
        <f>CHOOSE(Attend,'Attendance analysis'!O49,'Attendance analysis'!P49,'Attendance analysis'!Q49,'Attendance analysis'!R49,'Attendance analysis'!S49,'Attendance analysis'!T49,'Attendance analysis'!U49)</f>
        <v>2017.9047619047633</v>
      </c>
      <c r="E57" s="43">
        <f>CHOOSE(Rate,'Attendee giving analysis'!N49,'Attendee giving analysis'!O49,'Attendee giving analysis'!P49,'Attendee giving analysis'!Q49,'Attendee giving analysis'!R49,'Attendee giving analysis'!S49,'Attendee giving analysis'!T49)</f>
        <v>41.566265060240958</v>
      </c>
      <c r="G57" s="3">
        <f t="shared" si="1"/>
        <v>83876.764199655809</v>
      </c>
      <c r="I57" s="3">
        <v>1062.7428571428609</v>
      </c>
      <c r="J57" s="3">
        <f t="shared" si="5"/>
        <v>47135.818569090436</v>
      </c>
      <c r="M57" s="1">
        <v>41</v>
      </c>
      <c r="N57" s="44">
        <f>'Source data'!DQ48</f>
        <v>0</v>
      </c>
      <c r="O57" s="50">
        <f>'Source data'!DM48+'Source data'!DN48+'Source data'!DO48</f>
        <v>0</v>
      </c>
      <c r="P57" s="43" t="e">
        <f>'Source data'!DW48</f>
        <v>#DIV/0!</v>
      </c>
      <c r="R57" s="51">
        <f t="shared" si="2"/>
        <v>-1062.7428571428609</v>
      </c>
      <c r="S57" s="3">
        <f t="shared" si="3"/>
        <v>-47135.818569090436</v>
      </c>
      <c r="T57" s="3">
        <f>SUM(S$17:S57)</f>
        <v>556048.80404722085</v>
      </c>
      <c r="U57" s="3" t="e">
        <f t="shared" si="4"/>
        <v>#DIV/0!</v>
      </c>
    </row>
    <row r="58" spans="2:21">
      <c r="B58" s="1">
        <v>42</v>
      </c>
      <c r="C58" s="44">
        <f>CHOOSE(Attend,'Attendance analysis'!O50,'Attendance analysis'!P50,'Attendance analysis'!Q50,'Attendance analysis'!R50,'Attendance analysis'!S50,'Attendance analysis'!T50,'Attendance analysis'!U50)</f>
        <v>2198.057142857142</v>
      </c>
      <c r="E58" s="43">
        <f>CHOOSE(Rate,'Attendee giving analysis'!N50,'Attendee giving analysis'!O50,'Attendee giving analysis'!P50,'Attendee giving analysis'!Q50,'Attendee giving analysis'!R50,'Attendee giving analysis'!S50,'Attendee giving analysis'!T50)</f>
        <v>32.275711159737419</v>
      </c>
      <c r="G58" s="3">
        <f t="shared" si="1"/>
        <v>70943.85745545481</v>
      </c>
      <c r="I58" s="3">
        <v>1084.5904761904967</v>
      </c>
      <c r="J58" s="3">
        <f t="shared" si="5"/>
        <v>39867.975660718846</v>
      </c>
      <c r="M58" s="1">
        <v>42</v>
      </c>
      <c r="N58" s="44">
        <f>'Source data'!DQ49</f>
        <v>0</v>
      </c>
      <c r="O58" s="50">
        <f>'Source data'!DM49+'Source data'!DN49+'Source data'!DO49</f>
        <v>0</v>
      </c>
      <c r="P58" s="43" t="e">
        <f>'Source data'!DW49</f>
        <v>#DIV/0!</v>
      </c>
      <c r="R58" s="51">
        <f t="shared" si="2"/>
        <v>-1084.5904761904967</v>
      </c>
      <c r="S58" s="3">
        <f t="shared" si="3"/>
        <v>-39867.975660718846</v>
      </c>
      <c r="T58" s="3">
        <f>SUM(S$17:S58)</f>
        <v>516180.82838650199</v>
      </c>
      <c r="U58" s="3" t="e">
        <f t="shared" si="4"/>
        <v>#DIV/0!</v>
      </c>
    </row>
    <row r="59" spans="2:21">
      <c r="B59" s="1">
        <v>43</v>
      </c>
      <c r="C59" s="44">
        <f>CHOOSE(Attend,'Attendance analysis'!O51,'Attendance analysis'!P51,'Attendance analysis'!Q51,'Attendance analysis'!R51,'Attendance analysis'!S51,'Attendance analysis'!T51,'Attendance analysis'!U51)</f>
        <v>1757.6380952381005</v>
      </c>
      <c r="E59" s="43">
        <f>CHOOSE(Rate,'Attendee giving analysis'!N51,'Attendee giving analysis'!O51,'Attendee giving analysis'!P51,'Attendee giving analysis'!Q51,'Attendee giving analysis'!R51,'Attendee giving analysis'!S51,'Attendee giving analysis'!T51)</f>
        <v>33.047735618115055</v>
      </c>
      <c r="G59" s="3">
        <f t="shared" si="1"/>
        <v>58085.959083756075</v>
      </c>
      <c r="I59" s="3">
        <v>944.23809523810633</v>
      </c>
      <c r="J59" s="3">
        <f t="shared" si="5"/>
        <v>32642.284843825342</v>
      </c>
      <c r="M59" s="1">
        <v>43</v>
      </c>
      <c r="N59" s="44">
        <f>'Source data'!DQ50</f>
        <v>0</v>
      </c>
      <c r="O59" s="50">
        <f>'Source data'!DM50+'Source data'!DN50+'Source data'!DO50</f>
        <v>0</v>
      </c>
      <c r="P59" s="43" t="e">
        <f>'Source data'!DW50</f>
        <v>#DIV/0!</v>
      </c>
      <c r="R59" s="51">
        <f t="shared" si="2"/>
        <v>-944.23809523810633</v>
      </c>
      <c r="S59" s="3">
        <f t="shared" si="3"/>
        <v>-32642.284843825342</v>
      </c>
      <c r="T59" s="3">
        <f>SUM(S$17:S59)</f>
        <v>483538.54354267666</v>
      </c>
      <c r="U59" s="3" t="e">
        <f t="shared" si="4"/>
        <v>#DIV/0!</v>
      </c>
    </row>
    <row r="60" spans="2:21">
      <c r="B60" s="1">
        <v>44</v>
      </c>
      <c r="C60" s="44">
        <f>CHOOSE(Attend,'Attendance analysis'!O52,'Attendance analysis'!P52,'Attendance analysis'!Q52,'Attendance analysis'!R52,'Attendance analysis'!S52,'Attendance analysis'!T52,'Attendance analysis'!U52)</f>
        <v>1820.6285714285768</v>
      </c>
      <c r="E60" s="43">
        <f>CHOOSE(Rate,'Attendee giving analysis'!N52,'Attendee giving analysis'!O52,'Attendee giving analysis'!P52,'Attendee giving analysis'!Q52,'Attendee giving analysis'!R52,'Attendee giving analysis'!S52,'Attendee giving analysis'!T52)</f>
        <v>25.91283863368669</v>
      </c>
      <c r="G60" s="3">
        <f t="shared" si="1"/>
        <v>47177.654383308232</v>
      </c>
      <c r="I60" s="3">
        <v>1016.0761904761894</v>
      </c>
      <c r="J60" s="3">
        <f t="shared" si="5"/>
        <v>26512.197731347347</v>
      </c>
      <c r="M60" s="1">
        <v>44</v>
      </c>
      <c r="N60" s="44">
        <f>'Source data'!DQ51</f>
        <v>0</v>
      </c>
      <c r="O60" s="50">
        <f>'Source data'!DM51+'Source data'!DN51+'Source data'!DO51</f>
        <v>0</v>
      </c>
      <c r="P60" s="43" t="e">
        <f>'Source data'!DW51</f>
        <v>#DIV/0!</v>
      </c>
      <c r="R60" s="51">
        <f t="shared" si="2"/>
        <v>-1016.0761904761894</v>
      </c>
      <c r="S60" s="3">
        <f t="shared" si="3"/>
        <v>-26512.197731347347</v>
      </c>
      <c r="T60" s="3">
        <f>SUM(S$17:S60)</f>
        <v>457026.34581132932</v>
      </c>
      <c r="U60" s="3" t="e">
        <f t="shared" si="4"/>
        <v>#DIV/0!</v>
      </c>
    </row>
    <row r="61" spans="2:21">
      <c r="B61" s="1">
        <v>45</v>
      </c>
      <c r="C61" s="44">
        <f>CHOOSE(Attend,'Attendance analysis'!O53,'Attendance analysis'!P53,'Attendance analysis'!Q53,'Attendance analysis'!R53,'Attendance analysis'!S53,'Attendance analysis'!T53,'Attendance analysis'!U53)</f>
        <v>2340.6095238095149</v>
      </c>
      <c r="E61" s="43">
        <f>CHOOSE(Rate,'Attendee giving analysis'!N53,'Attendee giving analysis'!O53,'Attendee giving analysis'!P53,'Attendee giving analysis'!Q53,'Attendee giving analysis'!R53,'Attendee giving analysis'!S53,'Attendee giving analysis'!T53)</f>
        <v>42.155816435432229</v>
      </c>
      <c r="G61" s="3">
        <f t="shared" si="1"/>
        <v>98670.305432738358</v>
      </c>
      <c r="I61" s="3">
        <v>1088.2476190476154</v>
      </c>
      <c r="J61" s="3">
        <f t="shared" si="5"/>
        <v>55449.273221407588</v>
      </c>
      <c r="M61" s="1">
        <v>45</v>
      </c>
      <c r="N61" s="44">
        <f>'Source data'!DQ52</f>
        <v>0</v>
      </c>
      <c r="O61" s="50">
        <f>'Source data'!DM52+'Source data'!DN52+'Source data'!DO52</f>
        <v>0</v>
      </c>
      <c r="P61" s="43" t="e">
        <f>'Source data'!DW52</f>
        <v>#DIV/0!</v>
      </c>
      <c r="R61" s="51">
        <f t="shared" si="2"/>
        <v>-1088.2476190476154</v>
      </c>
      <c r="S61" s="3">
        <f t="shared" si="3"/>
        <v>-55449.273221407588</v>
      </c>
      <c r="T61" s="3">
        <f>SUM(S$17:S61)</f>
        <v>401577.07258992171</v>
      </c>
      <c r="U61" s="3" t="e">
        <f t="shared" si="4"/>
        <v>#DIV/0!</v>
      </c>
    </row>
    <row r="62" spans="2:21">
      <c r="B62" s="1">
        <v>46</v>
      </c>
      <c r="C62" s="44">
        <f>CHOOSE(Attend,'Attendance analysis'!O54,'Attendance analysis'!P54,'Attendance analysis'!Q54,'Attendance analysis'!R54,'Attendance analysis'!S54,'Attendance analysis'!T54,'Attendance analysis'!U54)</f>
        <v>2154.6857142857189</v>
      </c>
      <c r="E62" s="43">
        <f>CHOOSE(Rate,'Attendee giving analysis'!N54,'Attendee giving analysis'!O54,'Attendee giving analysis'!P54,'Attendee giving analysis'!Q54,'Attendee giving analysis'!R54,'Attendee giving analysis'!S54,'Attendee giving analysis'!T54)</f>
        <v>24.167561761546722</v>
      </c>
      <c r="G62" s="3">
        <f t="shared" si="1"/>
        <v>52073.500076722521</v>
      </c>
      <c r="I62" s="3">
        <v>1069.666666666657</v>
      </c>
      <c r="J62" s="3">
        <f t="shared" si="5"/>
        <v>29263.492402154228</v>
      </c>
      <c r="M62" s="1">
        <v>46</v>
      </c>
      <c r="N62" s="44">
        <f>'Source data'!DQ53</f>
        <v>0</v>
      </c>
      <c r="O62" s="50">
        <f>'Source data'!DM53+'Source data'!DN53+'Source data'!DO53</f>
        <v>0</v>
      </c>
      <c r="P62" s="43" t="e">
        <f>'Source data'!DW53</f>
        <v>#DIV/0!</v>
      </c>
      <c r="R62" s="51">
        <f t="shared" si="2"/>
        <v>-1069.666666666657</v>
      </c>
      <c r="S62" s="3">
        <f t="shared" si="3"/>
        <v>-29263.492402154228</v>
      </c>
      <c r="T62" s="3">
        <f>SUM(S$17:S62)</f>
        <v>372313.58018776745</v>
      </c>
      <c r="U62" s="3" t="e">
        <f t="shared" si="4"/>
        <v>#DIV/0!</v>
      </c>
    </row>
    <row r="63" spans="2:21">
      <c r="B63" s="1">
        <v>47</v>
      </c>
      <c r="C63" s="44">
        <f>CHOOSE(Attend,'Attendance analysis'!O55,'Attendance analysis'!P55,'Attendance analysis'!Q55,'Attendance analysis'!R55,'Attendance analysis'!S55,'Attendance analysis'!T55,'Attendance analysis'!U55)</f>
        <v>2273.4285714285797</v>
      </c>
      <c r="E63" s="43">
        <f>CHOOSE(Rate,'Attendee giving analysis'!N55,'Attendee giving analysis'!O55,'Attendee giving analysis'!P55,'Attendee giving analysis'!Q55,'Attendee giving analysis'!R55,'Attendee giving analysis'!S55,'Attendee giving analysis'!T55)</f>
        <v>30.267753201396975</v>
      </c>
      <c r="G63" s="3">
        <f t="shared" si="1"/>
        <v>68811.574921004751</v>
      </c>
      <c r="I63" s="3">
        <v>1141.1142857142841</v>
      </c>
      <c r="J63" s="3">
        <f t="shared" si="5"/>
        <v>38669.707181469494</v>
      </c>
      <c r="M63" s="1">
        <v>47</v>
      </c>
      <c r="N63" s="44">
        <f>'Source data'!DQ54</f>
        <v>0</v>
      </c>
      <c r="O63" s="50">
        <f>'Source data'!DM54+'Source data'!DN54+'Source data'!DO54</f>
        <v>0</v>
      </c>
      <c r="P63" s="43" t="e">
        <f>'Source data'!DW54</f>
        <v>#DIV/0!</v>
      </c>
      <c r="R63" s="51">
        <f t="shared" si="2"/>
        <v>-1141.1142857142841</v>
      </c>
      <c r="S63" s="3">
        <f t="shared" si="3"/>
        <v>-38669.707181469494</v>
      </c>
      <c r="T63" s="3">
        <f>SUM(S$17:S63)</f>
        <v>333643.87300629797</v>
      </c>
      <c r="U63" s="3" t="e">
        <f t="shared" si="4"/>
        <v>#DIV/0!</v>
      </c>
    </row>
    <row r="64" spans="2:21">
      <c r="B64" s="1">
        <v>48</v>
      </c>
      <c r="C64" s="44">
        <f>CHOOSE(Attend,'Attendance analysis'!O56,'Attendance analysis'!P56,'Attendance analysis'!Q56,'Attendance analysis'!R56,'Attendance analysis'!S56,'Attendance analysis'!T56,'Attendance analysis'!U56)</f>
        <v>1713.2380952381063</v>
      </c>
      <c r="E64" s="43">
        <f>CHOOSE(Rate,'Attendee giving analysis'!N56,'Attendee giving analysis'!O56,'Attendee giving analysis'!P56,'Attendee giving analysis'!Q56,'Attendee giving analysis'!R56,'Attendee giving analysis'!S56,'Attendee giving analysis'!T56)</f>
        <v>40.057224606580832</v>
      </c>
      <c r="G64" s="3">
        <f t="shared" si="1"/>
        <v>68627.563185503546</v>
      </c>
      <c r="I64" s="3">
        <v>812.1809523809643</v>
      </c>
      <c r="J64" s="3">
        <f t="shared" si="5"/>
        <v>38566.298998500941</v>
      </c>
      <c r="M64" s="1">
        <v>48</v>
      </c>
      <c r="N64" s="44">
        <f>'Source data'!DQ55</f>
        <v>0</v>
      </c>
      <c r="O64" s="50">
        <f>'Source data'!DM55+'Source data'!DN55+'Source data'!DO55</f>
        <v>0</v>
      </c>
      <c r="P64" s="43" t="e">
        <f>'Source data'!DW55</f>
        <v>#DIV/0!</v>
      </c>
      <c r="R64" s="51">
        <f t="shared" si="2"/>
        <v>-812.1809523809643</v>
      </c>
      <c r="S64" s="3">
        <f t="shared" si="3"/>
        <v>-38566.298998500941</v>
      </c>
      <c r="T64" s="3">
        <f>SUM(S$17:S64)</f>
        <v>295077.57400779705</v>
      </c>
      <c r="U64" s="3" t="e">
        <f t="shared" si="4"/>
        <v>#DIV/0!</v>
      </c>
    </row>
    <row r="65" spans="2:21">
      <c r="B65" s="1">
        <v>49</v>
      </c>
      <c r="C65" s="44">
        <f>CHOOSE(Attend,'Attendance analysis'!O57,'Attendance analysis'!P57,'Attendance analysis'!Q57,'Attendance analysis'!R57,'Attendance analysis'!S57,'Attendance analysis'!T57,'Attendance analysis'!U57)</f>
        <v>2485.8857142857159</v>
      </c>
      <c r="E65" s="43">
        <f>CHOOSE(Rate,'Attendee giving analysis'!N57,'Attendee giving analysis'!O57,'Attendee giving analysis'!P57,'Attendee giving analysis'!Q57,'Attendee giving analysis'!R57,'Attendee giving analysis'!S57,'Attendee giving analysis'!T57)</f>
        <v>44.015825914935711</v>
      </c>
      <c r="G65" s="3">
        <f t="shared" si="1"/>
        <v>109418.31284442569</v>
      </c>
      <c r="I65" s="3">
        <v>1203.6761904761952</v>
      </c>
      <c r="J65" s="3">
        <f t="shared" si="5"/>
        <v>61489.278843591717</v>
      </c>
      <c r="M65" s="1">
        <v>49</v>
      </c>
      <c r="N65" s="44">
        <f>'Source data'!DQ56</f>
        <v>0</v>
      </c>
      <c r="O65" s="50">
        <f>'Source data'!DM56+'Source data'!DN56+'Source data'!DO56</f>
        <v>0</v>
      </c>
      <c r="P65" s="43" t="e">
        <f>'Source data'!DW56</f>
        <v>#DIV/0!</v>
      </c>
      <c r="R65" s="51">
        <f t="shared" si="2"/>
        <v>-1203.6761904761952</v>
      </c>
      <c r="S65" s="3">
        <f t="shared" si="3"/>
        <v>-61489.278843591717</v>
      </c>
      <c r="T65" s="3">
        <f>SUM(S$17:S65)</f>
        <v>233588.29516420534</v>
      </c>
      <c r="U65" s="3" t="e">
        <f t="shared" si="4"/>
        <v>#DIV/0!</v>
      </c>
    </row>
    <row r="66" spans="2:21">
      <c r="B66" s="1">
        <v>50</v>
      </c>
      <c r="C66" s="44">
        <f>CHOOSE(Attend,'Attendance analysis'!O58,'Attendance analysis'!P58,'Attendance analysis'!Q58,'Attendance analysis'!R58,'Attendance analysis'!S58,'Attendance analysis'!T58,'Attendance analysis'!U58)</f>
        <v>2370.3047619047575</v>
      </c>
      <c r="E66" s="43">
        <f>CHOOSE(Rate,'Attendee giving analysis'!N58,'Attendee giving analysis'!O58,'Attendee giving analysis'!P58,'Attendee giving analysis'!Q58,'Attendee giving analysis'!R58,'Attendee giving analysis'!S58,'Attendee giving analysis'!T58)</f>
        <v>28.523489932885905</v>
      </c>
      <c r="G66" s="3">
        <f t="shared" si="1"/>
        <v>67609.364014061866</v>
      </c>
      <c r="I66" s="3">
        <v>1175.0761904761894</v>
      </c>
      <c r="J66" s="3">
        <f t="shared" si="5"/>
        <v>37994.106546035422</v>
      </c>
      <c r="M66" s="1">
        <v>50</v>
      </c>
      <c r="N66" s="44">
        <f>'Source data'!DQ57</f>
        <v>0</v>
      </c>
      <c r="O66" s="50">
        <f>'Source data'!DM57+'Source data'!DN57+'Source data'!DO57</f>
        <v>0</v>
      </c>
      <c r="P66" s="43" t="e">
        <f>'Source data'!DW57</f>
        <v>#DIV/0!</v>
      </c>
      <c r="R66" s="51">
        <f t="shared" si="2"/>
        <v>-1175.0761904761894</v>
      </c>
      <c r="S66" s="3">
        <f t="shared" si="3"/>
        <v>-37994.106546035422</v>
      </c>
      <c r="T66" s="3">
        <f>SUM(S$17:S66)</f>
        <v>195594.18861816992</v>
      </c>
      <c r="U66" s="3" t="e">
        <f t="shared" si="4"/>
        <v>#DIV/0!</v>
      </c>
    </row>
    <row r="67" spans="2:21">
      <c r="B67" s="1">
        <v>51</v>
      </c>
      <c r="C67" s="44">
        <f>CHOOSE(Attend,'Attendance analysis'!O59,'Attendance analysis'!P59,'Attendance analysis'!Q59,'Attendance analysis'!R59,'Attendance analysis'!S59,'Attendance analysis'!T59,'Attendance analysis'!U59)</f>
        <v>1834.1523809523787</v>
      </c>
      <c r="E67" s="43">
        <f>CHOOSE(Rate,'Attendee giving analysis'!N59,'Attendee giving analysis'!O59,'Attendee giving analysis'!P59,'Attendee giving analysis'!Q59,'Attendee giving analysis'!R59,'Attendee giving analysis'!S59,'Attendee giving analysis'!T59)</f>
        <v>57.89473684210526</v>
      </c>
      <c r="G67" s="3">
        <f t="shared" si="1"/>
        <v>106187.76942355877</v>
      </c>
      <c r="I67" s="3">
        <v>868.94285714285797</v>
      </c>
      <c r="J67" s="3">
        <f t="shared" si="5"/>
        <v>59673.826018026266</v>
      </c>
      <c r="M67" s="1">
        <v>51</v>
      </c>
      <c r="N67" s="44">
        <f>'Source data'!DQ58</f>
        <v>0</v>
      </c>
      <c r="O67" s="50">
        <f>'Source data'!DM58+'Source data'!DN58+'Source data'!DO58</f>
        <v>0</v>
      </c>
      <c r="P67" s="43" t="e">
        <f>'Source data'!DW58</f>
        <v>#DIV/0!</v>
      </c>
      <c r="R67" s="51">
        <f t="shared" si="2"/>
        <v>-868.94285714285797</v>
      </c>
      <c r="S67" s="3">
        <f t="shared" si="3"/>
        <v>-59673.826018026266</v>
      </c>
      <c r="T67" s="3">
        <f>SUM(S$17:S67)</f>
        <v>135920.36260014365</v>
      </c>
      <c r="U67" s="3" t="e">
        <f t="shared" si="4"/>
        <v>#DIV/0!</v>
      </c>
    </row>
    <row r="68" spans="2:21">
      <c r="B68" s="1">
        <v>52</v>
      </c>
      <c r="C68" s="44">
        <f>CHOOSE(Attend,'Attendance analysis'!O60,'Attendance analysis'!P60,'Attendance analysis'!Q60,'Attendance analysis'!R60,'Attendance analysis'!S60,'Attendance analysis'!T60,'Attendance analysis'!U60)</f>
        <v>1382.5714285714348</v>
      </c>
      <c r="E68" s="43">
        <f>CHOOSE(Rate,'Attendee giving analysis'!N60,'Attendee giving analysis'!O60,'Attendee giving analysis'!P60,'Attendee giving analysis'!Q60,'Attendee giving analysis'!R60,'Attendee giving analysis'!S60,'Attendee giving analysis'!T60)</f>
        <v>56.390977443609025</v>
      </c>
      <c r="G68" s="3">
        <f t="shared" si="1"/>
        <v>77964.554242750091</v>
      </c>
      <c r="I68" s="3">
        <v>638.95238095238165</v>
      </c>
      <c r="J68" s="3">
        <f t="shared" si="5"/>
        <v>43813.362600143773</v>
      </c>
      <c r="M68" s="1">
        <v>52</v>
      </c>
      <c r="N68" s="44">
        <f>'Source data'!DQ59</f>
        <v>0</v>
      </c>
      <c r="O68" s="50">
        <f>'Source data'!DM59+'Source data'!DN59+'Source data'!DO59</f>
        <v>0</v>
      </c>
      <c r="P68" s="43" t="e">
        <f>'Source data'!DW59</f>
        <v>#DIV/0!</v>
      </c>
      <c r="R68" s="51">
        <f t="shared" si="2"/>
        <v>-638.95238095238165</v>
      </c>
      <c r="S68" s="3">
        <f t="shared" si="3"/>
        <v>-43813.362600143773</v>
      </c>
      <c r="T68" s="3">
        <f>SUM(S$17:S68)</f>
        <v>92106.999999999884</v>
      </c>
      <c r="U68" s="3" t="e">
        <f t="shared" si="4"/>
        <v>#DIV/0!</v>
      </c>
    </row>
    <row r="70" spans="2:21">
      <c r="B70" s="1" t="s">
        <v>3</v>
      </c>
      <c r="C70" s="35">
        <f>AVERAGE(C17:C68)</f>
        <v>1818.9663003663011</v>
      </c>
      <c r="E70" s="1" t="s">
        <v>5</v>
      </c>
      <c r="G70" s="28">
        <f>SUM(G17:G68)</f>
        <v>3402155.7958289431</v>
      </c>
      <c r="I70" s="35">
        <f>AVERAGE(I17:I68)</f>
        <v>951.66492673992775</v>
      </c>
      <c r="J70" s="28">
        <f>SUM(J17:J68)</f>
        <v>1911892.9999999998</v>
      </c>
      <c r="M70" s="1" t="s">
        <v>3</v>
      </c>
      <c r="N70" s="35">
        <f>AVERAGEIF(N17:N68,"&gt;0",N17:N68)</f>
        <v>1676.8666666666666</v>
      </c>
      <c r="O70" s="28">
        <f>SUM(O17:O68)</f>
        <v>2004000</v>
      </c>
      <c r="P70" s="1" t="s">
        <v>5</v>
      </c>
    </row>
    <row r="72" spans="2:21">
      <c r="J72" s="74" t="s">
        <v>356</v>
      </c>
      <c r="O72" s="3">
        <f>SUMIF(O17:O68,"&gt;0",J17:J68)</f>
        <v>1076062.385160042</v>
      </c>
      <c r="P72" s="1" t="s">
        <v>308</v>
      </c>
    </row>
    <row r="73" spans="2:21">
      <c r="J73" s="75" t="s">
        <v>328</v>
      </c>
    </row>
    <row r="74" spans="2:21">
      <c r="J74" s="76" t="s">
        <v>282</v>
      </c>
      <c r="O74" s="28">
        <f>O70-O72</f>
        <v>927937.61483995803</v>
      </c>
      <c r="P74" s="1" t="str">
        <f>IF(O74&gt;0,"Amount over budget","Amount under budget")</f>
        <v>Amount over budget</v>
      </c>
    </row>
    <row r="75" spans="2:21">
      <c r="J75" s="77">
        <v>1911893</v>
      </c>
    </row>
    <row r="76" spans="2:21">
      <c r="O76" s="56">
        <f>O70/J75</f>
        <v>1.0481758131861982</v>
      </c>
      <c r="P76" s="1" t="s">
        <v>307</v>
      </c>
    </row>
    <row r="77" spans="2:21">
      <c r="O77" s="56">
        <f>O72/J75</f>
        <v>0.56282563153902543</v>
      </c>
      <c r="P77" s="1" t="s">
        <v>309</v>
      </c>
    </row>
    <row r="79" spans="2:21">
      <c r="O79" s="57">
        <f>O76-O77</f>
        <v>0.48535018164717281</v>
      </c>
      <c r="P79" s="1" t="str">
        <f>IF(O79&gt;0,"Percent over budget","Percent under budget")</f>
        <v>Percent over budget</v>
      </c>
    </row>
    <row r="82" spans="1:21">
      <c r="B82" s="111" t="s">
        <v>312</v>
      </c>
      <c r="C82" s="111"/>
      <c r="D82" s="111"/>
      <c r="E82" s="111"/>
      <c r="F82" s="111"/>
      <c r="G82" s="111"/>
      <c r="M82" s="111" t="s">
        <v>305</v>
      </c>
      <c r="N82" s="111"/>
      <c r="O82" s="111"/>
      <c r="P82" s="111"/>
      <c r="R82" s="111" t="s">
        <v>313</v>
      </c>
      <c r="S82" s="111"/>
      <c r="T82" s="111"/>
      <c r="U82" s="111"/>
    </row>
    <row r="83" spans="1:21">
      <c r="E83" s="19" t="s">
        <v>7</v>
      </c>
      <c r="P83" s="19" t="s">
        <v>7</v>
      </c>
      <c r="U83" s="19" t="s">
        <v>7</v>
      </c>
    </row>
    <row r="84" spans="1:21">
      <c r="C84" s="19"/>
      <c r="E84" s="19" t="s">
        <v>279</v>
      </c>
      <c r="G84" s="19" t="s">
        <v>281</v>
      </c>
      <c r="I84" s="19" t="s">
        <v>326</v>
      </c>
      <c r="J84" s="19" t="s">
        <v>326</v>
      </c>
      <c r="N84" s="19"/>
      <c r="O84" s="19" t="s">
        <v>7</v>
      </c>
      <c r="P84" s="19" t="s">
        <v>279</v>
      </c>
      <c r="R84" s="19"/>
      <c r="S84" s="19"/>
      <c r="T84" s="19" t="s">
        <v>6</v>
      </c>
      <c r="U84" s="19" t="s">
        <v>279</v>
      </c>
    </row>
    <row r="85" spans="1:21">
      <c r="B85" s="22" t="s">
        <v>0</v>
      </c>
      <c r="C85" s="22" t="s">
        <v>62</v>
      </c>
      <c r="E85" s="22" t="s">
        <v>280</v>
      </c>
      <c r="G85" s="22" t="s">
        <v>282</v>
      </c>
      <c r="I85" s="22" t="s">
        <v>282</v>
      </c>
      <c r="J85" s="22" t="s">
        <v>282</v>
      </c>
      <c r="M85" s="22" t="s">
        <v>0</v>
      </c>
      <c r="N85" s="22" t="s">
        <v>62</v>
      </c>
      <c r="O85" s="22" t="s">
        <v>279</v>
      </c>
      <c r="P85" s="22" t="s">
        <v>280</v>
      </c>
      <c r="R85" s="22" t="s">
        <v>62</v>
      </c>
      <c r="S85" s="22" t="s">
        <v>279</v>
      </c>
      <c r="T85" s="22" t="s">
        <v>7</v>
      </c>
      <c r="U85" s="22" t="s">
        <v>280</v>
      </c>
    </row>
    <row r="86" spans="1:21">
      <c r="B86" s="1">
        <v>1</v>
      </c>
      <c r="C86" s="44">
        <f>CHOOSE(Attend,'Attendance analysis'!O9,'Attendance analysis'!P9,'Attendance analysis'!Q9,'Attendance analysis'!R9,'Attendance analysis'!S9,'Attendance analysis'!T9,'Attendance analysis'!U9)</f>
        <v>1345.7857142857174</v>
      </c>
      <c r="E86" s="43">
        <f>CHOOSE(Rate,'Attendee giving analysis'!N68,'Attendee giving analysis'!O68,'Attendee giving analysis'!P68,'Attendee giving analysis'!Q68,'Attendee giving analysis'!R68,'Attendee giving analysis'!S68,'Attendee giving analysis'!T68)</f>
        <v>52.710843373493979</v>
      </c>
      <c r="G86" s="3">
        <f>C86*E86</f>
        <v>70937.500000000175</v>
      </c>
      <c r="I86" s="3">
        <v>693.46428571428987</v>
      </c>
      <c r="J86" s="3">
        <f t="shared" ref="J86:J117" si="6">(G86/$G$139)*BudgetedOffering</f>
        <v>39372.221093604938</v>
      </c>
      <c r="M86" s="1">
        <v>1</v>
      </c>
      <c r="N86" s="43">
        <f>'Source data'!DQ8</f>
        <v>1328</v>
      </c>
      <c r="O86" s="43">
        <f>'Source data'!DM8</f>
        <v>70000</v>
      </c>
      <c r="P86" s="43">
        <f>'Source data'!DT8</f>
        <v>52.710843373493979</v>
      </c>
      <c r="R86" s="51">
        <f>N86-I86</f>
        <v>634.53571428571013</v>
      </c>
      <c r="S86" s="3">
        <f>O86-J86</f>
        <v>30627.778906395062</v>
      </c>
      <c r="T86" s="3">
        <f>SUM(S$86:S86)</f>
        <v>30627.778906395062</v>
      </c>
      <c r="U86" s="3">
        <f t="shared" ref="U86:U137" si="7">P86-(J86/I86)</f>
        <v>-4.0652904587628882</v>
      </c>
    </row>
    <row r="87" spans="1:21">
      <c r="B87" s="1">
        <v>2</v>
      </c>
      <c r="C87" s="44">
        <f>CHOOSE(Attend,'Attendance analysis'!O10,'Attendance analysis'!P10,'Attendance analysis'!Q10,'Attendance analysis'!R10,'Attendance analysis'!S10,'Attendance analysis'!T10,'Attendance analysis'!U10)</f>
        <v>1693.1785714285797</v>
      </c>
      <c r="E87" s="43">
        <f>CHOOSE(Rate,'Attendee giving analysis'!N69,'Attendee giving analysis'!O69,'Attendee giving analysis'!P69,'Attendee giving analysis'!Q69,'Attendee giving analysis'!R69,'Attendee giving analysis'!S69,'Attendee giving analysis'!T69)</f>
        <v>47.233468286099864</v>
      </c>
      <c r="G87" s="3">
        <f t="shared" ref="G87:G107" si="8">C87*E87</f>
        <v>79974.696356275701</v>
      </c>
      <c r="I87" s="3">
        <v>890.5</v>
      </c>
      <c r="J87" s="3">
        <f t="shared" si="6"/>
        <v>44388.108219675072</v>
      </c>
      <c r="M87" s="1">
        <v>2</v>
      </c>
      <c r="N87" s="43">
        <f>'Source data'!DQ9</f>
        <v>1482</v>
      </c>
      <c r="O87" s="43">
        <f>'Source data'!DM9</f>
        <v>70000</v>
      </c>
      <c r="P87" s="43">
        <f>'Source data'!DT9</f>
        <v>47.233468286099864</v>
      </c>
      <c r="R87" s="51">
        <f t="shared" ref="R87:R137" si="9">N87-I87</f>
        <v>591.5</v>
      </c>
      <c r="S87" s="3">
        <f t="shared" ref="S87:S137" si="10">O87-J87</f>
        <v>25611.891780324928</v>
      </c>
      <c r="T87" s="3">
        <f>SUM(S$86:S87)</f>
        <v>56239.67068671999</v>
      </c>
      <c r="U87" s="3">
        <f t="shared" si="7"/>
        <v>-2.6128070869209949</v>
      </c>
    </row>
    <row r="88" spans="1:21">
      <c r="A88" s="17"/>
      <c r="B88" s="1">
        <v>3</v>
      </c>
      <c r="C88" s="44">
        <f>CHOOSE(Attend,'Attendance analysis'!O11,'Attendance analysis'!P11,'Attendance analysis'!Q11,'Attendance analysis'!R11,'Attendance analysis'!S11,'Attendance analysis'!T11,'Attendance analysis'!U11)</f>
        <v>1585.9642857142899</v>
      </c>
      <c r="E88" s="43">
        <f>CHOOSE(Rate,'Attendee giving analysis'!N70,'Attendee giving analysis'!O70,'Attendee giving analysis'!P70,'Attendee giving analysis'!Q70,'Attendee giving analysis'!R70,'Attendee giving analysis'!S70,'Attendee giving analysis'!T70)</f>
        <v>37.533512064343164</v>
      </c>
      <c r="G88" s="3">
        <f t="shared" si="8"/>
        <v>59526.809651474687</v>
      </c>
      <c r="I88" s="3">
        <v>860.28571428571013</v>
      </c>
      <c r="J88" s="3">
        <f t="shared" si="6"/>
        <v>33038.980942305432</v>
      </c>
      <c r="M88" s="1">
        <v>3</v>
      </c>
      <c r="N88" s="43">
        <f>'Source data'!DQ10</f>
        <v>1492</v>
      </c>
      <c r="O88" s="43">
        <f>'Source data'!DM10</f>
        <v>56000</v>
      </c>
      <c r="P88" s="43">
        <f>'Source data'!DT10</f>
        <v>37.533512064343164</v>
      </c>
      <c r="R88" s="51">
        <f t="shared" si="9"/>
        <v>631.71428571428987</v>
      </c>
      <c r="S88" s="3">
        <f t="shared" si="10"/>
        <v>22961.019057694568</v>
      </c>
      <c r="T88" s="3">
        <f>SUM(S$86:S88)</f>
        <v>79200.689744414558</v>
      </c>
      <c r="U88" s="3">
        <f t="shared" si="7"/>
        <v>-0.8711486125314849</v>
      </c>
    </row>
    <row r="89" spans="1:21">
      <c r="B89" s="1">
        <v>4</v>
      </c>
      <c r="C89" s="44">
        <f>CHOOSE(Attend,'Attendance analysis'!O12,'Attendance analysis'!P12,'Attendance analysis'!Q12,'Attendance analysis'!R12,'Attendance analysis'!S12,'Attendance analysis'!T12,'Attendance analysis'!U12)</f>
        <v>1765.0357142857174</v>
      </c>
      <c r="E89" s="43">
        <f>CHOOSE(Rate,'Attendee giving analysis'!N71,'Attendee giving analysis'!O71,'Attendee giving analysis'!P71,'Attendee giving analysis'!Q71,'Attendee giving analysis'!R71,'Attendee giving analysis'!S71,'Attendee giving analysis'!T71)</f>
        <v>31.630170316301705</v>
      </c>
      <c r="G89" s="3">
        <f t="shared" si="8"/>
        <v>55828.380257212477</v>
      </c>
      <c r="I89" s="3">
        <v>925.96428571428987</v>
      </c>
      <c r="J89" s="3">
        <f t="shared" si="6"/>
        <v>30986.253121195601</v>
      </c>
      <c r="M89" s="1">
        <v>4</v>
      </c>
      <c r="N89" s="43">
        <f>'Source data'!DQ11</f>
        <v>1644</v>
      </c>
      <c r="O89" s="43">
        <f>'Source data'!DM11</f>
        <v>52000</v>
      </c>
      <c r="P89" s="43">
        <f>'Source data'!DT11</f>
        <v>31.630170316301705</v>
      </c>
      <c r="R89" s="51">
        <f t="shared" si="9"/>
        <v>718.03571428571013</v>
      </c>
      <c r="S89" s="3">
        <f t="shared" si="10"/>
        <v>21013.746878804399</v>
      </c>
      <c r="T89" s="3">
        <f>SUM(S$86:S89)</f>
        <v>100214.43662321896</v>
      </c>
      <c r="U89" s="3">
        <f t="shared" si="7"/>
        <v>-1.8335966985273551</v>
      </c>
    </row>
    <row r="90" spans="1:21">
      <c r="B90" s="1">
        <v>5</v>
      </c>
      <c r="C90" s="44">
        <f>CHOOSE(Attend,'Attendance analysis'!O13,'Attendance analysis'!P13,'Attendance analysis'!Q13,'Attendance analysis'!R13,'Attendance analysis'!S13,'Attendance analysis'!T13,'Attendance analysis'!U13)</f>
        <v>1834.6071428571422</v>
      </c>
      <c r="E90" s="43">
        <f>CHOOSE(Rate,'Attendee giving analysis'!N72,'Attendee giving analysis'!O72,'Attendee giving analysis'!P72,'Attendee giving analysis'!Q72,'Attendee giving analysis'!R72,'Attendee giving analysis'!S72,'Attendee giving analysis'!T72)</f>
        <v>31.385281385281385</v>
      </c>
      <c r="G90" s="3">
        <f t="shared" si="8"/>
        <v>57579.661410018532</v>
      </c>
      <c r="I90" s="3">
        <v>998.53571428571013</v>
      </c>
      <c r="J90" s="3">
        <f t="shared" si="6"/>
        <v>31958.26127972026</v>
      </c>
      <c r="M90" s="1">
        <v>5</v>
      </c>
      <c r="N90" s="43">
        <f>'Source data'!DQ12</f>
        <v>1848</v>
      </c>
      <c r="O90" s="43">
        <f>'Source data'!DM12</f>
        <v>58000</v>
      </c>
      <c r="P90" s="43">
        <f>'Source data'!DT12</f>
        <v>31.385281385281385</v>
      </c>
      <c r="R90" s="51">
        <f t="shared" si="9"/>
        <v>849.46428571428987</v>
      </c>
      <c r="S90" s="3">
        <f t="shared" si="10"/>
        <v>26041.73872027974</v>
      </c>
      <c r="T90" s="3">
        <f>SUM(S$86:S90)</f>
        <v>126256.1753434987</v>
      </c>
      <c r="U90" s="3">
        <f t="shared" si="7"/>
        <v>-0.61984454311987847</v>
      </c>
    </row>
    <row r="91" spans="1:21">
      <c r="B91" s="1">
        <v>6</v>
      </c>
      <c r="C91" s="44">
        <f>CHOOSE(Attend,'Attendance analysis'!O14,'Attendance analysis'!P14,'Attendance analysis'!Q14,'Attendance analysis'!R14,'Attendance analysis'!S14,'Attendance analysis'!T14,'Attendance analysis'!U14)</f>
        <v>2073.6785714285652</v>
      </c>
      <c r="E91" s="43">
        <f>CHOOSE(Rate,'Attendee giving analysis'!N73,'Attendee giving analysis'!O73,'Attendee giving analysis'!P73,'Attendee giving analysis'!Q73,'Attendee giving analysis'!R73,'Attendee giving analysis'!S73,'Attendee giving analysis'!T73)</f>
        <v>32.738095238095241</v>
      </c>
      <c r="G91" s="3">
        <f t="shared" si="8"/>
        <v>67888.286564625654</v>
      </c>
      <c r="I91" s="3">
        <v>1145.1785714285797</v>
      </c>
      <c r="J91" s="3">
        <f t="shared" si="6"/>
        <v>37679.82559701772</v>
      </c>
      <c r="M91" s="1">
        <v>6</v>
      </c>
      <c r="N91" s="43">
        <f>'Source data'!DQ13</f>
        <v>2016</v>
      </c>
      <c r="O91" s="43">
        <f>'Source data'!DM13</f>
        <v>66000</v>
      </c>
      <c r="P91" s="43">
        <f>'Source data'!DT13</f>
        <v>32.738095238095241</v>
      </c>
      <c r="R91" s="51">
        <f t="shared" si="9"/>
        <v>870.82142857142026</v>
      </c>
      <c r="S91" s="3">
        <f t="shared" si="10"/>
        <v>28320.17440298228</v>
      </c>
      <c r="T91" s="3">
        <f>SUM(S$86:S91)</f>
        <v>154576.34974648099</v>
      </c>
      <c r="U91" s="3">
        <f t="shared" si="7"/>
        <v>-0.16491791383017329</v>
      </c>
    </row>
    <row r="92" spans="1:21">
      <c r="B92" s="1">
        <v>7</v>
      </c>
      <c r="C92" s="44">
        <f>CHOOSE(Attend,'Attendance analysis'!O15,'Attendance analysis'!P15,'Attendance analysis'!Q15,'Attendance analysis'!R15,'Attendance analysis'!S15,'Attendance analysis'!T15,'Attendance analysis'!U15)</f>
        <v>1991.7142857142899</v>
      </c>
      <c r="E92" s="43">
        <f>CHOOSE(Rate,'Attendee giving analysis'!N74,'Attendee giving analysis'!O74,'Attendee giving analysis'!P74,'Attendee giving analysis'!Q74,'Attendee giving analysis'!R74,'Attendee giving analysis'!S74,'Attendee giving analysis'!T74)</f>
        <v>37.298387096774192</v>
      </c>
      <c r="G92" s="3">
        <f t="shared" si="8"/>
        <v>74287.730414746693</v>
      </c>
      <c r="I92" s="3">
        <v>1075.9642857142899</v>
      </c>
      <c r="J92" s="3">
        <f t="shared" si="6"/>
        <v>41231.68911269102</v>
      </c>
      <c r="M92" s="1">
        <v>7</v>
      </c>
      <c r="N92" s="43">
        <f>'Source data'!DQ14</f>
        <v>1984</v>
      </c>
      <c r="O92" s="43">
        <f>'Source data'!DM14</f>
        <v>74000</v>
      </c>
      <c r="P92" s="43">
        <f>'Source data'!DT14</f>
        <v>37.298387096774192</v>
      </c>
      <c r="R92" s="51">
        <f t="shared" si="9"/>
        <v>908.03571428571013</v>
      </c>
      <c r="S92" s="3">
        <f t="shared" si="10"/>
        <v>32768.31088730898</v>
      </c>
      <c r="T92" s="3">
        <f>SUM(S$86:S92)</f>
        <v>187344.66063378996</v>
      </c>
      <c r="U92" s="3">
        <f t="shared" si="7"/>
        <v>-1.0222985060187852</v>
      </c>
    </row>
    <row r="93" spans="1:21">
      <c r="B93" s="1">
        <v>8</v>
      </c>
      <c r="C93" s="44">
        <f>CHOOSE(Attend,'Attendance analysis'!O16,'Attendance analysis'!P16,'Attendance analysis'!Q16,'Attendance analysis'!R16,'Attendance analysis'!S16,'Attendance analysis'!T16,'Attendance analysis'!U16)</f>
        <v>1773.8214285714275</v>
      </c>
      <c r="E93" s="43">
        <f>CHOOSE(Rate,'Attendee giving analysis'!N75,'Attendee giving analysis'!O75,'Attendee giving analysis'!P75,'Attendee giving analysis'!Q75,'Attendee giving analysis'!R75,'Attendee giving analysis'!S75,'Attendee giving analysis'!T75)</f>
        <v>28.717948717948719</v>
      </c>
      <c r="G93" s="3">
        <f t="shared" si="8"/>
        <v>50940.512820512791</v>
      </c>
      <c r="I93" s="3">
        <v>986.46428571427532</v>
      </c>
      <c r="J93" s="3">
        <f t="shared" si="6"/>
        <v>28273.355184364282</v>
      </c>
      <c r="M93" s="1">
        <v>8</v>
      </c>
      <c r="N93" s="43">
        <f>'Source data'!DQ15</f>
        <v>1950</v>
      </c>
      <c r="O93" s="43">
        <f>'Source data'!DM15</f>
        <v>56000</v>
      </c>
      <c r="P93" s="43">
        <f>'Source data'!DT15</f>
        <v>28.717948717948719</v>
      </c>
      <c r="R93" s="51">
        <f t="shared" si="9"/>
        <v>963.53571428572468</v>
      </c>
      <c r="S93" s="3">
        <f t="shared" si="10"/>
        <v>27726.644815635718</v>
      </c>
      <c r="T93" s="3">
        <f>SUM(S$86:S93)</f>
        <v>215071.30544942568</v>
      </c>
      <c r="U93" s="3">
        <f t="shared" si="7"/>
        <v>5.6642278565341542E-2</v>
      </c>
    </row>
    <row r="94" spans="1:21">
      <c r="B94" s="1">
        <v>9</v>
      </c>
      <c r="C94" s="44">
        <f>CHOOSE(Attend,'Attendance analysis'!O17,'Attendance analysis'!P17,'Attendance analysis'!Q17,'Attendance analysis'!R17,'Attendance analysis'!S17,'Attendance analysis'!T17,'Attendance analysis'!U17)</f>
        <v>1837.3571428571449</v>
      </c>
      <c r="E94" s="43">
        <f>CHOOSE(Rate,'Attendee giving analysis'!N76,'Attendee giving analysis'!O76,'Attendee giving analysis'!P76,'Attendee giving analysis'!Q76,'Attendee giving analysis'!R76,'Attendee giving analysis'!S76,'Attendee giving analysis'!T76)</f>
        <v>39.045553145336228</v>
      </c>
      <c r="G94" s="3">
        <f t="shared" si="8"/>
        <v>71740.625968391774</v>
      </c>
      <c r="I94" s="3">
        <v>1003</v>
      </c>
      <c r="J94" s="3">
        <f t="shared" si="6"/>
        <v>39817.977614394782</v>
      </c>
      <c r="M94" s="1">
        <v>9</v>
      </c>
      <c r="N94" s="43">
        <f>'Source data'!DQ16</f>
        <v>1844</v>
      </c>
      <c r="O94" s="43">
        <f>'Source data'!DM16</f>
        <v>72000</v>
      </c>
      <c r="P94" s="43">
        <f>'Source data'!DT16</f>
        <v>39.045553145336228</v>
      </c>
      <c r="R94" s="51">
        <f t="shared" si="9"/>
        <v>841</v>
      </c>
      <c r="S94" s="3">
        <f t="shared" si="10"/>
        <v>32182.022385605218</v>
      </c>
      <c r="T94" s="3">
        <f>SUM(S$86:S94)</f>
        <v>247253.32783503091</v>
      </c>
      <c r="U94" s="3">
        <f t="shared" si="7"/>
        <v>-0.653327826144114</v>
      </c>
    </row>
    <row r="95" spans="1:21">
      <c r="B95" s="1">
        <v>10</v>
      </c>
      <c r="C95" s="44">
        <f>CHOOSE(Attend,'Attendance analysis'!O18,'Attendance analysis'!P18,'Attendance analysis'!Q18,'Attendance analysis'!R18,'Attendance analysis'!S18,'Attendance analysis'!T18,'Attendance analysis'!U18)</f>
        <v>1895.5357142857174</v>
      </c>
      <c r="E95" s="43">
        <f>CHOOSE(Rate,'Attendee giving analysis'!N77,'Attendee giving analysis'!O77,'Attendee giving analysis'!P77,'Attendee giving analysis'!Q77,'Attendee giving analysis'!R77,'Attendee giving analysis'!S77,'Attendee giving analysis'!T77)</f>
        <v>43.859649122807021</v>
      </c>
      <c r="G95" s="3">
        <f t="shared" si="8"/>
        <v>83137.53132832094</v>
      </c>
      <c r="I95" s="3">
        <v>1020.5714285714348</v>
      </c>
      <c r="J95" s="3">
        <f t="shared" si="6"/>
        <v>46143.566726134282</v>
      </c>
      <c r="M95" s="1">
        <v>10</v>
      </c>
      <c r="N95" s="43">
        <f>'Source data'!DQ17</f>
        <v>1596</v>
      </c>
      <c r="O95" s="43">
        <f>'Source data'!DM17</f>
        <v>70000</v>
      </c>
      <c r="P95" s="43">
        <f>'Source data'!DT17</f>
        <v>43.859649122807021</v>
      </c>
      <c r="R95" s="51">
        <f t="shared" si="9"/>
        <v>575.42857142856519</v>
      </c>
      <c r="S95" s="3">
        <f t="shared" si="10"/>
        <v>23856.433273865718</v>
      </c>
      <c r="T95" s="3">
        <f>SUM(S$86:S95)</f>
        <v>271109.76110889664</v>
      </c>
      <c r="U95" s="3">
        <f t="shared" si="7"/>
        <v>-1.3538121150062494</v>
      </c>
    </row>
    <row r="96" spans="1:21">
      <c r="B96" s="1">
        <v>11</v>
      </c>
      <c r="C96" s="44">
        <f>CHOOSE(Attend,'Attendance analysis'!O19,'Attendance analysis'!P19,'Attendance analysis'!Q19,'Attendance analysis'!R19,'Attendance analysis'!S19,'Attendance analysis'!T19,'Attendance analysis'!U19)</f>
        <v>1872.1071428571449</v>
      </c>
      <c r="E96" s="43">
        <f>CHOOSE(Rate,'Attendee giving analysis'!N78,'Attendee giving analysis'!O78,'Attendee giving analysis'!P78,'Attendee giving analysis'!Q78,'Attendee giving analysis'!R78,'Attendee giving analysis'!S78,'Attendee giving analysis'!T78)</f>
        <v>31.925849639546858</v>
      </c>
      <c r="G96" s="3">
        <f t="shared" si="8"/>
        <v>59768.611151978876</v>
      </c>
      <c r="I96" s="3">
        <v>1022.3214285714348</v>
      </c>
      <c r="J96" s="3">
        <f t="shared" si="6"/>
        <v>33173.187280823375</v>
      </c>
      <c r="M96" s="1">
        <v>11</v>
      </c>
      <c r="N96" s="43">
        <f>'Source data'!DQ18</f>
        <v>1942</v>
      </c>
      <c r="O96" s="43">
        <f>'Source data'!DM18</f>
        <v>62000</v>
      </c>
      <c r="P96" s="43">
        <f>'Source data'!DT18</f>
        <v>31.925849639546858</v>
      </c>
      <c r="R96" s="51">
        <f t="shared" si="9"/>
        <v>919.67857142856519</v>
      </c>
      <c r="S96" s="3">
        <f t="shared" si="10"/>
        <v>28826.812719176625</v>
      </c>
      <c r="T96" s="3">
        <f>SUM(S$86:S96)</f>
        <v>299936.57382807328</v>
      </c>
      <c r="U96" s="3">
        <f t="shared" si="7"/>
        <v>-0.52303224213170196</v>
      </c>
    </row>
    <row r="97" spans="2:21">
      <c r="B97" s="1">
        <v>12</v>
      </c>
      <c r="C97" s="44">
        <f>CHOOSE(Attend,'Attendance analysis'!O20,'Attendance analysis'!P20,'Attendance analysis'!Q20,'Attendance analysis'!R20,'Attendance analysis'!S20,'Attendance analysis'!T20,'Attendance analysis'!U20)</f>
        <v>1914.75</v>
      </c>
      <c r="E97" s="43">
        <f>CHOOSE(Rate,'Attendee giving analysis'!N79,'Attendee giving analysis'!O79,'Attendee giving analysis'!P79,'Attendee giving analysis'!Q79,'Attendee giving analysis'!R79,'Attendee giving analysis'!S79,'Attendee giving analysis'!T79)</f>
        <v>33.126293995859214</v>
      </c>
      <c r="G97" s="3">
        <f t="shared" si="8"/>
        <v>63428.571428571428</v>
      </c>
      <c r="I97" s="3">
        <v>1041</v>
      </c>
      <c r="J97" s="3">
        <f t="shared" si="6"/>
        <v>35204.563706604</v>
      </c>
      <c r="M97" s="1">
        <v>12</v>
      </c>
      <c r="N97" s="43">
        <f>'Source data'!DQ19</f>
        <v>1932</v>
      </c>
      <c r="O97" s="43">
        <f>'Source data'!DM19</f>
        <v>64000</v>
      </c>
      <c r="P97" s="43">
        <f>'Source data'!DT19</f>
        <v>33.126293995859214</v>
      </c>
      <c r="R97" s="51">
        <f t="shared" si="9"/>
        <v>891</v>
      </c>
      <c r="S97" s="3">
        <f t="shared" si="10"/>
        <v>28795.436293396</v>
      </c>
      <c r="T97" s="3">
        <f>SUM(S$86:S97)</f>
        <v>328732.01012146927</v>
      </c>
      <c r="U97" s="3">
        <f t="shared" si="7"/>
        <v>-0.69173069828487854</v>
      </c>
    </row>
    <row r="98" spans="2:21">
      <c r="B98" s="1">
        <v>13</v>
      </c>
      <c r="C98" s="44">
        <f>CHOOSE(Attend,'Attendance analysis'!O21,'Attendance analysis'!P21,'Attendance analysis'!Q21,'Attendance analysis'!R21,'Attendance analysis'!S21,'Attendance analysis'!T21,'Attendance analysis'!U21)</f>
        <v>2095</v>
      </c>
      <c r="E98" s="43">
        <f>CHOOSE(Rate,'Attendee giving analysis'!N80,'Attendee giving analysis'!O80,'Attendee giving analysis'!P80,'Attendee giving analysis'!Q80,'Attendee giving analysis'!R80,'Attendee giving analysis'!S80,'Attendee giving analysis'!T80)</f>
        <v>20.072992700729927</v>
      </c>
      <c r="G98" s="3">
        <f t="shared" si="8"/>
        <v>42052.9197080292</v>
      </c>
      <c r="I98" s="3">
        <v>1135</v>
      </c>
      <c r="J98" s="3">
        <f t="shared" si="6"/>
        <v>23340.501883716483</v>
      </c>
      <c r="M98" s="1">
        <v>13</v>
      </c>
      <c r="N98" s="43">
        <f>'Source data'!DQ20</f>
        <v>2192</v>
      </c>
      <c r="O98" s="43">
        <f>'Source data'!DM20</f>
        <v>44000</v>
      </c>
      <c r="P98" s="43">
        <f>'Source data'!DT20</f>
        <v>20.072992700729927</v>
      </c>
      <c r="R98" s="51">
        <f t="shared" si="9"/>
        <v>1057</v>
      </c>
      <c r="S98" s="3">
        <f t="shared" si="10"/>
        <v>20659.498116283517</v>
      </c>
      <c r="T98" s="3">
        <f>SUM(S$86:S98)</f>
        <v>349391.50823775277</v>
      </c>
      <c r="U98" s="3">
        <f t="shared" si="7"/>
        <v>-0.49132613954891369</v>
      </c>
    </row>
    <row r="99" spans="2:21">
      <c r="B99" s="1">
        <v>14</v>
      </c>
      <c r="C99" s="44">
        <f>CHOOSE(Attend,'Attendance analysis'!O22,'Attendance analysis'!P22,'Attendance analysis'!Q22,'Attendance analysis'!R22,'Attendance analysis'!S22,'Attendance analysis'!T22,'Attendance analysis'!U22)</f>
        <v>1886.2857142857174</v>
      </c>
      <c r="E99" s="43">
        <f>CHOOSE(Rate,'Attendee giving analysis'!N81,'Attendee giving analysis'!O81,'Attendee giving analysis'!P81,'Attendee giving analysis'!Q81,'Attendee giving analysis'!R81,'Attendee giving analysis'!S81,'Attendee giving analysis'!T81)</f>
        <v>42.630937880633375</v>
      </c>
      <c r="G99" s="3">
        <f t="shared" si="8"/>
        <v>80414.129110840571</v>
      </c>
      <c r="I99" s="3">
        <v>1040.0714285714348</v>
      </c>
      <c r="J99" s="3">
        <f t="shared" si="6"/>
        <v>44632.005221521758</v>
      </c>
      <c r="M99" s="1">
        <v>14</v>
      </c>
      <c r="N99" s="43">
        <f>'Source data'!DQ21</f>
        <v>1642</v>
      </c>
      <c r="O99" s="43">
        <f>'Source data'!DM21</f>
        <v>70000</v>
      </c>
      <c r="P99" s="43">
        <f>'Source data'!DT21</f>
        <v>42.630937880633375</v>
      </c>
      <c r="R99" s="51">
        <f t="shared" si="9"/>
        <v>601.92857142856519</v>
      </c>
      <c r="S99" s="3">
        <f t="shared" si="10"/>
        <v>25367.994778478242</v>
      </c>
      <c r="T99" s="3">
        <f>SUM(S$86:S99)</f>
        <v>374759.503016231</v>
      </c>
      <c r="U99" s="3">
        <f t="shared" si="7"/>
        <v>-0.28150447231634246</v>
      </c>
    </row>
    <row r="100" spans="2:21">
      <c r="B100" s="1">
        <v>15</v>
      </c>
      <c r="C100" s="44">
        <f>CHOOSE(Attend,'Attendance analysis'!O23,'Attendance analysis'!P23,'Attendance analysis'!Q23,'Attendance analysis'!R23,'Attendance analysis'!S23,'Attendance analysis'!T23,'Attendance analysis'!U23)</f>
        <v>2111.75</v>
      </c>
      <c r="E100" s="43">
        <f>CHOOSE(Rate,'Attendee giving analysis'!N82,'Attendee giving analysis'!O82,'Attendee giving analysis'!P82,'Attendee giving analysis'!Q82,'Attendee giving analysis'!R82,'Attendee giving analysis'!S82,'Attendee giving analysis'!T82)</f>
        <v>33.881897386253627</v>
      </c>
      <c r="G100" s="3">
        <f t="shared" si="8"/>
        <v>71550.096805421097</v>
      </c>
      <c r="I100" s="3">
        <v>1128.7857142857101</v>
      </c>
      <c r="J100" s="3">
        <f t="shared" si="6"/>
        <v>39712.228802704754</v>
      </c>
      <c r="M100" s="1">
        <v>15</v>
      </c>
      <c r="N100" s="43">
        <f>'Source data'!DQ22</f>
        <v>2066</v>
      </c>
      <c r="O100" s="43">
        <f>'Source data'!DM22</f>
        <v>70000</v>
      </c>
      <c r="P100" s="43">
        <f>'Source data'!DT22</f>
        <v>33.881897386253627</v>
      </c>
      <c r="R100" s="51">
        <f t="shared" si="9"/>
        <v>937.21428571428987</v>
      </c>
      <c r="S100" s="3">
        <f t="shared" si="10"/>
        <v>30287.771197295246</v>
      </c>
      <c r="T100" s="3">
        <f>SUM(S$86:S100)</f>
        <v>405047.27421352622</v>
      </c>
      <c r="U100" s="3">
        <f t="shared" si="7"/>
        <v>-1.2994734444664005</v>
      </c>
    </row>
    <row r="101" spans="2:21">
      <c r="B101" s="1">
        <v>16</v>
      </c>
      <c r="C101" s="44">
        <f>CHOOSE(Attend,'Attendance analysis'!O24,'Attendance analysis'!P24,'Attendance analysis'!Q24,'Attendance analysis'!R24,'Attendance analysis'!S24,'Attendance analysis'!T24,'Attendance analysis'!U24)</f>
        <v>1754.3214285714284</v>
      </c>
      <c r="E101" s="43">
        <f>CHOOSE(Rate,'Attendee giving analysis'!N83,'Attendee giving analysis'!O83,'Attendee giving analysis'!P83,'Attendee giving analysis'!Q83,'Attendee giving analysis'!R83,'Attendee giving analysis'!S83,'Attendee giving analysis'!T83)</f>
        <v>36.956521739130437</v>
      </c>
      <c r="G101" s="3">
        <f t="shared" si="8"/>
        <v>64833.618012422361</v>
      </c>
      <c r="I101" s="3">
        <v>962.60714285714494</v>
      </c>
      <c r="J101" s="3">
        <f t="shared" si="6"/>
        <v>35984.402363819056</v>
      </c>
      <c r="M101" s="1">
        <v>16</v>
      </c>
      <c r="N101" s="43">
        <f>'Source data'!DQ23</f>
        <v>1840</v>
      </c>
      <c r="O101" s="43">
        <f>'Source data'!DM23</f>
        <v>68000</v>
      </c>
      <c r="P101" s="43">
        <f>'Source data'!DT23</f>
        <v>36.956521739130437</v>
      </c>
      <c r="R101" s="51">
        <f t="shared" si="9"/>
        <v>877.39285714285506</v>
      </c>
      <c r="S101" s="3">
        <f t="shared" si="10"/>
        <v>32015.597636180944</v>
      </c>
      <c r="T101" s="3">
        <f>SUM(S$86:S101)</f>
        <v>437062.87184970715</v>
      </c>
      <c r="U101" s="3">
        <f t="shared" si="7"/>
        <v>-0.42570903988976028</v>
      </c>
    </row>
    <row r="102" spans="2:21">
      <c r="B102" s="1">
        <v>17</v>
      </c>
      <c r="C102" s="44">
        <f>CHOOSE(Attend,'Attendance analysis'!O25,'Attendance analysis'!P25,'Attendance analysis'!Q25,'Attendance analysis'!R25,'Attendance analysis'!S25,'Attendance analysis'!T25,'Attendance analysis'!U25)</f>
        <v>2213.8214285714203</v>
      </c>
      <c r="E102" s="43">
        <f>CHOOSE(Rate,'Attendee giving analysis'!N84,'Attendee giving analysis'!O84,'Attendee giving analysis'!P84,'Attendee giving analysis'!Q84,'Attendee giving analysis'!R84,'Attendee giving analysis'!S84,'Attendee giving analysis'!T84)</f>
        <v>24.636058230683091</v>
      </c>
      <c r="G102" s="3">
        <f t="shared" si="8"/>
        <v>54539.833626619533</v>
      </c>
      <c r="I102" s="3">
        <v>1115.6428571428405</v>
      </c>
      <c r="J102" s="3">
        <f t="shared" si="6"/>
        <v>30271.075072503092</v>
      </c>
      <c r="M102" s="1">
        <v>17</v>
      </c>
      <c r="N102" s="43">
        <f>'Source data'!DQ24</f>
        <v>1786</v>
      </c>
      <c r="O102" s="43">
        <f>'Source data'!DM24</f>
        <v>44000</v>
      </c>
      <c r="P102" s="43">
        <f>'Source data'!DT24</f>
        <v>24.636058230683091</v>
      </c>
      <c r="R102" s="51">
        <f t="shared" si="9"/>
        <v>670.35714285715949</v>
      </c>
      <c r="S102" s="3">
        <f t="shared" si="10"/>
        <v>13728.924927496908</v>
      </c>
      <c r="T102" s="3">
        <f>SUM(S$86:S102)</f>
        <v>450791.79677720409</v>
      </c>
      <c r="U102" s="3">
        <f t="shared" si="7"/>
        <v>-2.4972442224220757</v>
      </c>
    </row>
    <row r="103" spans="2:21">
      <c r="B103" s="1">
        <v>18</v>
      </c>
      <c r="C103" s="44">
        <f>CHOOSE(Attend,'Attendance analysis'!O26,'Attendance analysis'!P26,'Attendance analysis'!Q26,'Attendance analysis'!R26,'Attendance analysis'!S26,'Attendance analysis'!T26,'Attendance analysis'!U26)</f>
        <v>1803.75</v>
      </c>
      <c r="E103" s="43">
        <f>CHOOSE(Rate,'Attendee giving analysis'!N85,'Attendee giving analysis'!O85,'Attendee giving analysis'!P85,'Attendee giving analysis'!Q85,'Attendee giving analysis'!R85,'Attendee giving analysis'!S85,'Attendee giving analysis'!T85)</f>
        <v>41.988950276243095</v>
      </c>
      <c r="G103" s="3">
        <f t="shared" si="8"/>
        <v>75737.569060773487</v>
      </c>
      <c r="I103" s="3">
        <v>995.5</v>
      </c>
      <c r="J103" s="3">
        <f t="shared" si="6"/>
        <v>42036.388569556853</v>
      </c>
      <c r="M103" s="1">
        <v>18</v>
      </c>
      <c r="N103" s="43">
        <f>'Source data'!DQ25</f>
        <v>1810</v>
      </c>
      <c r="O103" s="43">
        <f>'Source data'!DM25</f>
        <v>76000</v>
      </c>
      <c r="P103" s="43">
        <f>'Source data'!DT25</f>
        <v>41.988950276243095</v>
      </c>
      <c r="R103" s="51">
        <f t="shared" si="9"/>
        <v>814.5</v>
      </c>
      <c r="S103" s="3">
        <f t="shared" si="10"/>
        <v>33963.611430443147</v>
      </c>
      <c r="T103" s="3">
        <f>SUM(S$86:S103)</f>
        <v>484755.40820764721</v>
      </c>
      <c r="U103" s="3">
        <f t="shared" si="7"/>
        <v>-0.23745712662667273</v>
      </c>
    </row>
    <row r="104" spans="2:21">
      <c r="B104" s="1">
        <v>19</v>
      </c>
      <c r="C104" s="44">
        <f>CHOOSE(Attend,'Attendance analysis'!O27,'Attendance analysis'!P27,'Attendance analysis'!Q27,'Attendance analysis'!R27,'Attendance analysis'!S27,'Attendance analysis'!T27,'Attendance analysis'!U27)</f>
        <v>1723.9642857142826</v>
      </c>
      <c r="E104" s="43">
        <f>CHOOSE(Rate,'Attendee giving analysis'!N86,'Attendee giving analysis'!O86,'Attendee giving analysis'!P86,'Attendee giving analysis'!Q86,'Attendee giving analysis'!R86,'Attendee giving analysis'!S86,'Attendee giving analysis'!T86)</f>
        <v>37.122969837587007</v>
      </c>
      <c r="G104" s="3">
        <f t="shared" si="8"/>
        <v>63998.674179648544</v>
      </c>
      <c r="I104" s="3">
        <v>954.28571428571013</v>
      </c>
      <c r="J104" s="3">
        <f t="shared" si="6"/>
        <v>35520.986072228399</v>
      </c>
      <c r="M104" s="1">
        <v>19</v>
      </c>
      <c r="N104" s="43">
        <f>'Source data'!DQ26</f>
        <v>1724</v>
      </c>
      <c r="O104" s="43">
        <f>'Source data'!DM26</f>
        <v>64000</v>
      </c>
      <c r="P104" s="43">
        <f>'Source data'!DT26</f>
        <v>37.122969837587007</v>
      </c>
      <c r="R104" s="51">
        <f t="shared" si="9"/>
        <v>769.71428571428987</v>
      </c>
      <c r="S104" s="3">
        <f t="shared" si="10"/>
        <v>28479.013927771601</v>
      </c>
      <c r="T104" s="3">
        <f>SUM(S$86:S104)</f>
        <v>513234.4221354188</v>
      </c>
      <c r="U104" s="3">
        <f t="shared" si="7"/>
        <v>-9.9620357862079345E-2</v>
      </c>
    </row>
    <row r="105" spans="2:21">
      <c r="B105" s="1">
        <v>20</v>
      </c>
      <c r="C105" s="44">
        <f>CHOOSE(Attend,'Attendance analysis'!O28,'Attendance analysis'!P28,'Attendance analysis'!Q28,'Attendance analysis'!R28,'Attendance analysis'!S28,'Attendance analysis'!T28,'Attendance analysis'!U28)</f>
        <v>1912.5</v>
      </c>
      <c r="E105" s="43">
        <f>CHOOSE(Rate,'Attendee giving analysis'!N87,'Attendee giving analysis'!O87,'Attendee giving analysis'!P87,'Attendee giving analysis'!Q87,'Attendee giving analysis'!R87,'Attendee giving analysis'!S87,'Attendee giving analysis'!T87)</f>
        <v>31.120331950207468</v>
      </c>
      <c r="G105" s="3">
        <f t="shared" si="8"/>
        <v>59517.634854771786</v>
      </c>
      <c r="I105" s="3">
        <v>1009.5357142857101</v>
      </c>
      <c r="J105" s="3">
        <f t="shared" si="6"/>
        <v>33033.888683284807</v>
      </c>
      <c r="M105" s="1">
        <v>20</v>
      </c>
      <c r="N105" s="43">
        <f>'Source data'!DQ27</f>
        <v>1928</v>
      </c>
      <c r="O105" s="43">
        <f>'Source data'!DM27</f>
        <v>60000</v>
      </c>
      <c r="P105" s="43">
        <f>'Source data'!DT27</f>
        <v>31.120331950207468</v>
      </c>
      <c r="R105" s="51">
        <f t="shared" si="9"/>
        <v>918.46428571428987</v>
      </c>
      <c r="S105" s="3">
        <f t="shared" si="10"/>
        <v>26966.111316715193</v>
      </c>
      <c r="T105" s="3">
        <f>SUM(S$86:S105)</f>
        <v>540200.533452134</v>
      </c>
      <c r="U105" s="3">
        <f t="shared" si="7"/>
        <v>-1.6015304027828883</v>
      </c>
    </row>
    <row r="106" spans="2:21">
      <c r="B106" s="1">
        <v>21</v>
      </c>
      <c r="C106" s="44">
        <f>CHOOSE(Attend,'Attendance analysis'!O29,'Attendance analysis'!P29,'Attendance analysis'!Q29,'Attendance analysis'!R29,'Attendance analysis'!S29,'Attendance analysis'!T29,'Attendance analysis'!U29)</f>
        <v>1749.5</v>
      </c>
      <c r="E106" s="43">
        <f>CHOOSE(Rate,'Attendee giving analysis'!N88,'Attendee giving analysis'!O88,'Attendee giving analysis'!P88,'Attendee giving analysis'!Q88,'Attendee giving analysis'!R88,'Attendee giving analysis'!S88,'Attendee giving analysis'!T88)</f>
        <v>28.901734104046241</v>
      </c>
      <c r="G106" s="3">
        <f t="shared" si="8"/>
        <v>50563.583815028898</v>
      </c>
      <c r="I106" s="3">
        <v>961.89285714285506</v>
      </c>
      <c r="J106" s="3">
        <f t="shared" si="6"/>
        <v>28064.149444938674</v>
      </c>
      <c r="M106" s="1">
        <v>21</v>
      </c>
      <c r="N106" s="43">
        <f>'Source data'!DQ28</f>
        <v>1730</v>
      </c>
      <c r="O106" s="43">
        <f>'Source data'!DM28</f>
        <v>50000</v>
      </c>
      <c r="P106" s="43">
        <f>'Source data'!DT28</f>
        <v>28.901734104046241</v>
      </c>
      <c r="R106" s="51">
        <f t="shared" si="9"/>
        <v>768.10714285714494</v>
      </c>
      <c r="S106" s="3">
        <f t="shared" si="10"/>
        <v>21935.850555061326</v>
      </c>
      <c r="T106" s="3">
        <f>SUM(S$86:S106)</f>
        <v>562136.38400719536</v>
      </c>
      <c r="U106" s="3">
        <f t="shared" si="7"/>
        <v>-0.27422789269695613</v>
      </c>
    </row>
    <row r="107" spans="2:21">
      <c r="B107" s="1">
        <v>22</v>
      </c>
      <c r="C107" s="44">
        <f>CHOOSE(Attend,'Attendance analysis'!O30,'Attendance analysis'!P30,'Attendance analysis'!Q30,'Attendance analysis'!R30,'Attendance analysis'!S30,'Attendance analysis'!T30,'Attendance analysis'!U30)</f>
        <v>1663</v>
      </c>
      <c r="E107" s="43">
        <f>CHOOSE(Rate,'Attendee giving analysis'!N89,'Attendee giving analysis'!O89,'Attendee giving analysis'!P89,'Attendee giving analysis'!Q89,'Attendee giving analysis'!R89,'Attendee giving analysis'!S89,'Attendee giving analysis'!T89)</f>
        <v>38.770053475935832</v>
      </c>
      <c r="G107" s="3">
        <f t="shared" si="8"/>
        <v>64474.59893048129</v>
      </c>
      <c r="I107" s="3">
        <v>896.21428571428987</v>
      </c>
      <c r="J107" s="3">
        <f t="shared" si="6"/>
        <v>35785.13711383129</v>
      </c>
      <c r="M107" s="1">
        <v>22</v>
      </c>
      <c r="N107" s="43">
        <f>'Source data'!DQ29</f>
        <v>1496</v>
      </c>
      <c r="O107" s="43">
        <f>'Source data'!DM29</f>
        <v>58000</v>
      </c>
      <c r="P107" s="43">
        <f>'Source data'!DT29</f>
        <v>38.770053475935832</v>
      </c>
      <c r="R107" s="51">
        <f t="shared" si="9"/>
        <v>599.78571428571013</v>
      </c>
      <c r="S107" s="3">
        <f t="shared" si="10"/>
        <v>22214.86288616871</v>
      </c>
      <c r="T107" s="3">
        <f>SUM(S$86:S107)</f>
        <v>584351.24689336412</v>
      </c>
      <c r="U107" s="3">
        <f t="shared" si="7"/>
        <v>-1.159166225477712</v>
      </c>
    </row>
    <row r="108" spans="2:21">
      <c r="B108" s="1">
        <v>23</v>
      </c>
      <c r="C108" s="44">
        <f>CHOOSE(Attend,'Attendance analysis'!O31,'Attendance analysis'!P31,'Attendance analysis'!Q31,'Attendance analysis'!R31,'Attendance analysis'!S31,'Attendance analysis'!T31,'Attendance analysis'!U31)</f>
        <v>1532.2857142857174</v>
      </c>
      <c r="E108" s="43">
        <f>CHOOSE(Rate,'Attendee giving analysis'!N90,'Attendee giving analysis'!O90,'Attendee giving analysis'!P90,'Attendee giving analysis'!Q90,'Attendee giving analysis'!R90,'Attendee giving analysis'!S90,'Attendee giving analysis'!T90)</f>
        <v>59.840876944837341</v>
      </c>
      <c r="G108" s="3">
        <f>C108*E108</f>
        <v>91693.320872903802</v>
      </c>
      <c r="I108" s="3">
        <v>787.14285714285506</v>
      </c>
      <c r="J108" s="3">
        <f t="shared" si="6"/>
        <v>50892.260119327861</v>
      </c>
      <c r="M108" s="1">
        <v>23</v>
      </c>
      <c r="N108" s="43">
        <f>'Source data'!DQ30</f>
        <v>1394</v>
      </c>
      <c r="O108" s="43">
        <f>'Source data'!DM30</f>
        <v>82000</v>
      </c>
      <c r="P108" s="43">
        <f>'Source data'!DT30</f>
        <v>58.823529411764703</v>
      </c>
      <c r="R108" s="51">
        <f t="shared" si="9"/>
        <v>606.85714285714494</v>
      </c>
      <c r="S108" s="3">
        <f t="shared" si="10"/>
        <v>31107.739880672139</v>
      </c>
      <c r="T108" s="3">
        <f>SUM(S$86:S108)</f>
        <v>615458.98677403631</v>
      </c>
      <c r="U108" s="3">
        <f t="shared" si="7"/>
        <v>-5.8308845329351087</v>
      </c>
    </row>
    <row r="109" spans="2:21">
      <c r="B109" s="1">
        <v>24</v>
      </c>
      <c r="C109" s="44">
        <f>CHOOSE(Attend,'Attendance analysis'!O32,'Attendance analysis'!P32,'Attendance analysis'!Q32,'Attendance analysis'!R32,'Attendance analysis'!S32,'Attendance analysis'!T32,'Attendance analysis'!U32)</f>
        <v>1394.2857142857138</v>
      </c>
      <c r="E109" s="43">
        <f>CHOOSE(Rate,'Attendee giving analysis'!N91,'Attendee giving analysis'!O91,'Attendee giving analysis'!P91,'Attendee giving analysis'!Q91,'Attendee giving analysis'!R91,'Attendee giving analysis'!S91,'Attendee giving analysis'!T91)</f>
        <v>32.433429811866858</v>
      </c>
      <c r="G109" s="3">
        <f t="shared" ref="G109:G137" si="11">C109*E109</f>
        <v>45221.467851974347</v>
      </c>
      <c r="I109" s="3">
        <v>726</v>
      </c>
      <c r="J109" s="3">
        <f t="shared" si="6"/>
        <v>25099.131354294659</v>
      </c>
      <c r="M109" s="1">
        <v>24</v>
      </c>
      <c r="N109" s="43">
        <f>'Source data'!DQ31</f>
        <v>1400</v>
      </c>
      <c r="O109" s="43">
        <f>'Source data'!DM31</f>
        <v>60000</v>
      </c>
      <c r="P109" s="43">
        <f>'Source data'!DT31</f>
        <v>42.857142857142854</v>
      </c>
      <c r="R109" s="51">
        <f t="shared" si="9"/>
        <v>674</v>
      </c>
      <c r="S109" s="3">
        <f t="shared" si="10"/>
        <v>34900.868645705341</v>
      </c>
      <c r="T109" s="3">
        <f>SUM(S$86:S109)</f>
        <v>650359.85541974171</v>
      </c>
      <c r="U109" s="3">
        <f t="shared" si="7"/>
        <v>8.2853365840097126</v>
      </c>
    </row>
    <row r="110" spans="2:21">
      <c r="B110" s="1">
        <v>25</v>
      </c>
      <c r="C110" s="44">
        <f>CHOOSE(Attend,'Attendance analysis'!O33,'Attendance analysis'!P33,'Attendance analysis'!Q33,'Attendance analysis'!R33,'Attendance analysis'!S33,'Attendance analysis'!T33,'Attendance analysis'!U33)</f>
        <v>1309.1428571428571</v>
      </c>
      <c r="E110" s="43">
        <f>CHOOSE(Rate,'Attendee giving analysis'!N92,'Attendee giving analysis'!O92,'Attendee giving analysis'!P92,'Attendee giving analysis'!Q92,'Attendee giving analysis'!R92,'Attendee giving analysis'!S92,'Attendee giving analysis'!T92)</f>
        <v>32.56707317073171</v>
      </c>
      <c r="G110" s="3">
        <f t="shared" si="11"/>
        <v>42634.951219512201</v>
      </c>
      <c r="I110" s="3">
        <v>691.14285714285506</v>
      </c>
      <c r="J110" s="3">
        <f t="shared" si="6"/>
        <v>23663.545032312835</v>
      </c>
      <c r="M110" s="1">
        <v>25</v>
      </c>
      <c r="N110" s="43">
        <f>'Source data'!DQ32</f>
        <v>1440</v>
      </c>
      <c r="O110" s="43">
        <f>'Source data'!DM32</f>
        <v>106000</v>
      </c>
      <c r="P110" s="43">
        <f>'Source data'!DT32</f>
        <v>73.611111111111114</v>
      </c>
      <c r="R110" s="51">
        <f t="shared" si="9"/>
        <v>748.85714285714494</v>
      </c>
      <c r="S110" s="3">
        <f t="shared" si="10"/>
        <v>82336.454967687168</v>
      </c>
      <c r="T110" s="3">
        <f>SUM(S$86:S110)</f>
        <v>732696.31038742885</v>
      </c>
      <c r="U110" s="3">
        <f t="shared" si="7"/>
        <v>39.372827682795624</v>
      </c>
    </row>
    <row r="111" spans="2:21">
      <c r="B111" s="1">
        <v>26</v>
      </c>
      <c r="C111" s="44">
        <f>CHOOSE(Attend,'Attendance analysis'!O34,'Attendance analysis'!P34,'Attendance analysis'!Q34,'Attendance analysis'!R34,'Attendance analysis'!S34,'Attendance analysis'!T34,'Attendance analysis'!U34)</f>
        <v>1356.2857142857156</v>
      </c>
      <c r="E111" s="43">
        <f>CHOOSE(Rate,'Attendee giving analysis'!N93,'Attendee giving analysis'!O93,'Attendee giving analysis'!P93,'Attendee giving analysis'!Q93,'Attendee giving analysis'!R93,'Attendee giving analysis'!S93,'Attendee giving analysis'!T93)</f>
        <v>44.733473980309427</v>
      </c>
      <c r="G111" s="3">
        <f t="shared" si="11"/>
        <v>60671.371709865445</v>
      </c>
      <c r="I111" s="3">
        <v>721.71428571428987</v>
      </c>
      <c r="J111" s="3">
        <f t="shared" si="6"/>
        <v>33674.243679479885</v>
      </c>
      <c r="M111" s="1">
        <v>26</v>
      </c>
      <c r="N111" s="43">
        <f>'Source data'!DQ33</f>
        <v>1494</v>
      </c>
      <c r="O111" s="43">
        <f>'Source data'!DM33</f>
        <v>100000</v>
      </c>
      <c r="P111" s="43">
        <f>'Source data'!DT33</f>
        <v>66.934404283801868</v>
      </c>
      <c r="R111" s="51">
        <f t="shared" si="9"/>
        <v>772.28571428571013</v>
      </c>
      <c r="S111" s="3">
        <f t="shared" si="10"/>
        <v>66325.756320520115</v>
      </c>
      <c r="T111" s="3">
        <f>SUM(S$86:S111)</f>
        <v>799022.06670794892</v>
      </c>
      <c r="U111" s="3">
        <f t="shared" si="7"/>
        <v>20.275713516510137</v>
      </c>
    </row>
    <row r="112" spans="2:21">
      <c r="B112" s="1">
        <v>27</v>
      </c>
      <c r="C112" s="44">
        <f>CHOOSE(Attend,'Attendance analysis'!O35,'Attendance analysis'!P35,'Attendance analysis'!Q35,'Attendance analysis'!R35,'Attendance analysis'!S35,'Attendance analysis'!T35,'Attendance analysis'!U35)</f>
        <v>1408</v>
      </c>
      <c r="E112" s="43">
        <f>CHOOSE(Rate,'Attendee giving analysis'!N94,'Attendee giving analysis'!O94,'Attendee giving analysis'!P94,'Attendee giving analysis'!Q94,'Attendee giving analysis'!R94,'Attendee giving analysis'!S94,'Attendee giving analysis'!T94)</f>
        <v>39.496397694524497</v>
      </c>
      <c r="G112" s="3">
        <f t="shared" si="11"/>
        <v>55610.927953890488</v>
      </c>
      <c r="I112" s="3">
        <v>746.28571428571013</v>
      </c>
      <c r="J112" s="3">
        <f t="shared" si="6"/>
        <v>30865.561242235861</v>
      </c>
      <c r="M112" s="1">
        <v>27</v>
      </c>
      <c r="N112" s="43">
        <f>'Source data'!DQ34</f>
        <v>1248</v>
      </c>
      <c r="O112" s="43">
        <f>'Source data'!DM34</f>
        <v>72000</v>
      </c>
      <c r="P112" s="43">
        <f>'Source data'!DT34</f>
        <v>57.692307692307693</v>
      </c>
      <c r="R112" s="51">
        <f t="shared" si="9"/>
        <v>501.71428571428987</v>
      </c>
      <c r="S112" s="3">
        <f t="shared" si="10"/>
        <v>41134.438757764139</v>
      </c>
      <c r="T112" s="3">
        <f>SUM(S$86:S112)</f>
        <v>840156.5054657131</v>
      </c>
      <c r="U112" s="3">
        <f t="shared" si="7"/>
        <v>16.333400974150685</v>
      </c>
    </row>
    <row r="113" spans="2:21">
      <c r="B113" s="1">
        <v>28</v>
      </c>
      <c r="C113" s="44">
        <f>CHOOSE(Attend,'Attendance analysis'!O36,'Attendance analysis'!P36,'Attendance analysis'!Q36,'Attendance analysis'!R36,'Attendance analysis'!S36,'Attendance analysis'!T36,'Attendance analysis'!U36)</f>
        <v>1426.5714285714275</v>
      </c>
      <c r="E113" s="43">
        <f>CHOOSE(Rate,'Attendee giving analysis'!N95,'Attendee giving analysis'!O95,'Attendee giving analysis'!P95,'Attendee giving analysis'!Q95,'Attendee giving analysis'!R95,'Attendee giving analysis'!S95,'Attendee giving analysis'!T95)</f>
        <v>30.571530758226036</v>
      </c>
      <c r="G113" s="3">
        <f t="shared" si="11"/>
        <v>43612.472307377851</v>
      </c>
      <c r="I113" s="3">
        <v>742.57142857142026</v>
      </c>
      <c r="J113" s="3">
        <f t="shared" si="6"/>
        <v>24206.095536561046</v>
      </c>
      <c r="M113" s="1">
        <v>28</v>
      </c>
      <c r="N113" s="43">
        <f>'Source data'!DQ35</f>
        <v>1372</v>
      </c>
      <c r="O113" s="43">
        <f>'Source data'!DM35</f>
        <v>72000</v>
      </c>
      <c r="P113" s="43">
        <f>'Source data'!DT35</f>
        <v>52.478134110787174</v>
      </c>
      <c r="R113" s="51">
        <f t="shared" si="9"/>
        <v>629.42857142857974</v>
      </c>
      <c r="S113" s="3">
        <f t="shared" si="10"/>
        <v>47793.904463438957</v>
      </c>
      <c r="T113" s="3">
        <f>SUM(S$86:S113)</f>
        <v>887950.40992915211</v>
      </c>
      <c r="U113" s="3">
        <f t="shared" si="7"/>
        <v>19.880467939965854</v>
      </c>
    </row>
    <row r="114" spans="2:21">
      <c r="B114" s="1">
        <v>29</v>
      </c>
      <c r="C114" s="44">
        <f>CHOOSE(Attend,'Attendance analysis'!O37,'Attendance analysis'!P37,'Attendance analysis'!Q37,'Attendance analysis'!R37,'Attendance analysis'!S37,'Attendance analysis'!T37,'Attendance analysis'!U37)</f>
        <v>1411.7142857142858</v>
      </c>
      <c r="E114" s="43">
        <f>CHOOSE(Rate,'Attendee giving analysis'!N96,'Attendee giving analysis'!O96,'Attendee giving analysis'!P96,'Attendee giving analysis'!Q96,'Attendee giving analysis'!R96,'Attendee giving analysis'!S96,'Attendee giving analysis'!T96)</f>
        <v>47.400746268656718</v>
      </c>
      <c r="G114" s="3">
        <f t="shared" si="11"/>
        <v>66916.310660980816</v>
      </c>
      <c r="I114" s="3">
        <v>728.85714285714494</v>
      </c>
      <c r="J114" s="3">
        <f t="shared" si="6"/>
        <v>37140.352819206812</v>
      </c>
      <c r="M114" s="1">
        <v>29</v>
      </c>
      <c r="N114" s="43">
        <f>'Source data'!DQ36</f>
        <v>1400</v>
      </c>
      <c r="O114" s="43">
        <f>'Source data'!DM36</f>
        <v>60000</v>
      </c>
      <c r="P114" s="43">
        <f>'Source data'!DT36</f>
        <v>42.857142857142854</v>
      </c>
      <c r="R114" s="51">
        <f t="shared" si="9"/>
        <v>671.14285714285506</v>
      </c>
      <c r="S114" s="3">
        <f t="shared" si="10"/>
        <v>22859.647180793188</v>
      </c>
      <c r="T114" s="3">
        <f>SUM(S$86:S114)</f>
        <v>910810.05710994534</v>
      </c>
      <c r="U114" s="3">
        <f t="shared" si="7"/>
        <v>-8.0998288665825342</v>
      </c>
    </row>
    <row r="115" spans="2:21">
      <c r="B115" s="1">
        <v>30</v>
      </c>
      <c r="C115" s="44">
        <f>CHOOSE(Attend,'Attendance analysis'!O38,'Attendance analysis'!P38,'Attendance analysis'!Q38,'Attendance analysis'!R38,'Attendance analysis'!S38,'Attendance analysis'!T38,'Attendance analysis'!U38)</f>
        <v>1430.5714285714275</v>
      </c>
      <c r="E115" s="43">
        <f>CHOOSE(Rate,'Attendee giving analysis'!N97,'Attendee giving analysis'!O97,'Attendee giving analysis'!P97,'Attendee giving analysis'!Q97,'Attendee giving analysis'!R97,'Attendee giving analysis'!S97,'Attendee giving analysis'!T97)</f>
        <v>41.524590163934427</v>
      </c>
      <c r="G115" s="3">
        <f t="shared" si="11"/>
        <v>59403.89227166272</v>
      </c>
      <c r="I115" s="3">
        <v>722.85714285714494</v>
      </c>
      <c r="J115" s="3">
        <f t="shared" si="6"/>
        <v>32970.758489382744</v>
      </c>
      <c r="M115" s="1">
        <v>30</v>
      </c>
      <c r="N115" s="43">
        <f>'Source data'!DQ37</f>
        <v>1286</v>
      </c>
      <c r="O115" s="43">
        <f>'Source data'!DM37</f>
        <v>60000</v>
      </c>
      <c r="P115" s="43">
        <f>'Source data'!DT37</f>
        <v>46.65629860031104</v>
      </c>
      <c r="R115" s="51">
        <f t="shared" si="9"/>
        <v>563.14285714285506</v>
      </c>
      <c r="S115" s="3">
        <f t="shared" si="10"/>
        <v>27029.241510617256</v>
      </c>
      <c r="T115" s="3">
        <f>SUM(S$86:S115)</f>
        <v>937839.29862056253</v>
      </c>
      <c r="U115" s="3">
        <f t="shared" si="7"/>
        <v>1.0445773699397876</v>
      </c>
    </row>
    <row r="116" spans="2:21">
      <c r="B116" s="1">
        <v>31</v>
      </c>
      <c r="C116" s="44">
        <f>CHOOSE(Attend,'Attendance analysis'!O39,'Attendance analysis'!P39,'Attendance analysis'!Q39,'Attendance analysis'!R39,'Attendance analysis'!S39,'Attendance analysis'!T39,'Attendance analysis'!U39)</f>
        <v>1177.1428571428551</v>
      </c>
      <c r="E116" s="43">
        <f>CHOOSE(Rate,'Attendee giving analysis'!N98,'Attendee giving analysis'!O98,'Attendee giving analysis'!P98,'Attendee giving analysis'!Q98,'Attendee giving analysis'!R98,'Attendee giving analysis'!S98,'Attendee giving analysis'!T98)</f>
        <v>29.243478260869566</v>
      </c>
      <c r="G116" s="3">
        <f t="shared" si="11"/>
        <v>34423.751552794973</v>
      </c>
      <c r="I116" s="3">
        <v>641.57142857142753</v>
      </c>
      <c r="J116" s="3">
        <f t="shared" si="6"/>
        <v>19106.108292623318</v>
      </c>
      <c r="M116" s="1">
        <v>31</v>
      </c>
      <c r="N116" s="43">
        <f>'Source data'!DQ38</f>
        <v>0</v>
      </c>
      <c r="O116" s="43">
        <f>'Source data'!DM38</f>
        <v>0</v>
      </c>
      <c r="P116" s="43" t="e">
        <f>'Source data'!DT38</f>
        <v>#DIV/0!</v>
      </c>
      <c r="R116" s="51">
        <f t="shared" si="9"/>
        <v>-641.57142857142753</v>
      </c>
      <c r="S116" s="3">
        <f t="shared" si="10"/>
        <v>-19106.108292623318</v>
      </c>
      <c r="T116" s="3">
        <f>SUM(S$86:S116)</f>
        <v>918733.19032793923</v>
      </c>
      <c r="U116" s="3" t="e">
        <f t="shared" si="7"/>
        <v>#DIV/0!</v>
      </c>
    </row>
    <row r="117" spans="2:21">
      <c r="B117" s="1">
        <v>32</v>
      </c>
      <c r="C117" s="44">
        <f>CHOOSE(Attend,'Attendance analysis'!O40,'Attendance analysis'!P40,'Attendance analysis'!Q40,'Attendance analysis'!R40,'Attendance analysis'!S40,'Attendance analysis'!T40,'Attendance analysis'!U40)</f>
        <v>1311.1428571428551</v>
      </c>
      <c r="E117" s="43">
        <f>CHOOSE(Rate,'Attendee giving analysis'!N99,'Attendee giving analysis'!O99,'Attendee giving analysis'!P99,'Attendee giving analysis'!Q99,'Attendee giving analysis'!R99,'Attendee giving analysis'!S99,'Attendee giving analysis'!T99)</f>
        <v>42.812695924764888</v>
      </c>
      <c r="G117" s="3">
        <f t="shared" si="11"/>
        <v>56133.5604567845</v>
      </c>
      <c r="I117" s="3">
        <v>685.28571428571013</v>
      </c>
      <c r="J117" s="3">
        <f t="shared" si="6"/>
        <v>31155.636342918104</v>
      </c>
      <c r="M117" s="1">
        <v>32</v>
      </c>
      <c r="N117" s="43">
        <f>'Source data'!DQ39</f>
        <v>0</v>
      </c>
      <c r="O117" s="43">
        <f>'Source data'!DM39</f>
        <v>0</v>
      </c>
      <c r="P117" s="43" t="e">
        <f>'Source data'!DT39</f>
        <v>#DIV/0!</v>
      </c>
      <c r="R117" s="51">
        <f t="shared" si="9"/>
        <v>-685.28571428571013</v>
      </c>
      <c r="S117" s="3">
        <f t="shared" si="10"/>
        <v>-31155.636342918104</v>
      </c>
      <c r="T117" s="3">
        <f>SUM(S$86:S117)</f>
        <v>887577.55398502108</v>
      </c>
      <c r="U117" s="3" t="e">
        <f t="shared" si="7"/>
        <v>#DIV/0!</v>
      </c>
    </row>
    <row r="118" spans="2:21">
      <c r="B118" s="1">
        <v>33</v>
      </c>
      <c r="C118" s="44">
        <f>CHOOSE(Attend,'Attendance analysis'!O41,'Attendance analysis'!P41,'Attendance analysis'!Q41,'Attendance analysis'!R41,'Attendance analysis'!S41,'Attendance analysis'!T41,'Attendance analysis'!U41)</f>
        <v>1396.2857142857174</v>
      </c>
      <c r="E118" s="43">
        <f>CHOOSE(Rate,'Attendee giving analysis'!N100,'Attendee giving analysis'!O100,'Attendee giving analysis'!P100,'Attendee giving analysis'!Q100,'Attendee giving analysis'!R100,'Attendee giving analysis'!S100,'Attendee giving analysis'!T100)</f>
        <v>35.623801916932905</v>
      </c>
      <c r="G118" s="3">
        <f t="shared" si="11"/>
        <v>49741.005705157571</v>
      </c>
      <c r="I118" s="3">
        <v>739.71428571428987</v>
      </c>
      <c r="J118" s="3">
        <f t="shared" ref="J118:J137" si="12">(G118/$G$139)*BudgetedOffering</f>
        <v>27607.59646226218</v>
      </c>
      <c r="M118" s="1">
        <v>33</v>
      </c>
      <c r="N118" s="43">
        <f>'Source data'!DQ40</f>
        <v>0</v>
      </c>
      <c r="O118" s="43">
        <f>'Source data'!DM40</f>
        <v>0</v>
      </c>
      <c r="P118" s="43" t="e">
        <f>'Source data'!DT40</f>
        <v>#DIV/0!</v>
      </c>
      <c r="R118" s="51">
        <f t="shared" si="9"/>
        <v>-739.71428571428987</v>
      </c>
      <c r="S118" s="3">
        <f t="shared" si="10"/>
        <v>-27607.59646226218</v>
      </c>
      <c r="T118" s="3">
        <f>SUM(S$86:S118)</f>
        <v>859969.95752275886</v>
      </c>
      <c r="U118" s="3" t="e">
        <f t="shared" si="7"/>
        <v>#DIV/0!</v>
      </c>
    </row>
    <row r="119" spans="2:21">
      <c r="B119" s="1">
        <v>34</v>
      </c>
      <c r="C119" s="44">
        <f>CHOOSE(Attend,'Attendance analysis'!O42,'Attendance analysis'!P42,'Attendance analysis'!Q42,'Attendance analysis'!R42,'Attendance analysis'!S42,'Attendance analysis'!T42,'Attendance analysis'!U42)</f>
        <v>1682.5714285714203</v>
      </c>
      <c r="E119" s="43">
        <f>CHOOSE(Rate,'Attendee giving analysis'!N101,'Attendee giving analysis'!O101,'Attendee giving analysis'!P101,'Attendee giving analysis'!Q101,'Attendee giving analysis'!R101,'Attendee giving analysis'!S101,'Attendee giving analysis'!T101)</f>
        <v>30.475576662143826</v>
      </c>
      <c r="G119" s="3">
        <f t="shared" si="11"/>
        <v>51277.334560961172</v>
      </c>
      <c r="I119" s="3">
        <v>892.14285714285506</v>
      </c>
      <c r="J119" s="3">
        <f t="shared" si="12"/>
        <v>28460.300312597821</v>
      </c>
      <c r="M119" s="1">
        <v>34</v>
      </c>
      <c r="N119" s="43">
        <f>'Source data'!DQ41</f>
        <v>0</v>
      </c>
      <c r="O119" s="43">
        <f>'Source data'!DM41</f>
        <v>0</v>
      </c>
      <c r="P119" s="43" t="e">
        <f>'Source data'!DT41</f>
        <v>#DIV/0!</v>
      </c>
      <c r="R119" s="51">
        <f t="shared" si="9"/>
        <v>-892.14285714285506</v>
      </c>
      <c r="S119" s="3">
        <f t="shared" si="10"/>
        <v>-28460.300312597821</v>
      </c>
      <c r="T119" s="3">
        <f>SUM(S$86:S119)</f>
        <v>831509.65721016109</v>
      </c>
      <c r="U119" s="3" t="e">
        <f t="shared" si="7"/>
        <v>#DIV/0!</v>
      </c>
    </row>
    <row r="120" spans="2:21">
      <c r="B120" s="1">
        <v>35</v>
      </c>
      <c r="C120" s="44">
        <f>CHOOSE(Attend,'Attendance analysis'!O43,'Attendance analysis'!P43,'Attendance analysis'!Q43,'Attendance analysis'!R43,'Attendance analysis'!S43,'Attendance analysis'!T43,'Attendance analysis'!U43)</f>
        <v>2150.5714285714284</v>
      </c>
      <c r="E120" s="43">
        <f>CHOOSE(Rate,'Attendee giving analysis'!N102,'Attendee giving analysis'!O102,'Attendee giving analysis'!P102,'Attendee giving analysis'!Q102,'Attendee giving analysis'!R102,'Attendee giving analysis'!S102,'Attendee giving analysis'!T102)</f>
        <v>21.948947368421052</v>
      </c>
      <c r="G120" s="3">
        <f t="shared" si="11"/>
        <v>47202.779097744358</v>
      </c>
      <c r="I120" s="3">
        <v>1109.2857142857101</v>
      </c>
      <c r="J120" s="3">
        <f t="shared" si="12"/>
        <v>26198.812403439366</v>
      </c>
      <c r="M120" s="1">
        <v>35</v>
      </c>
      <c r="N120" s="43">
        <f>'Source data'!DQ42</f>
        <v>0</v>
      </c>
      <c r="O120" s="43">
        <f>'Source data'!DM42</f>
        <v>0</v>
      </c>
      <c r="P120" s="43" t="e">
        <f>'Source data'!DT42</f>
        <v>#DIV/0!</v>
      </c>
      <c r="R120" s="51">
        <f t="shared" si="9"/>
        <v>-1109.2857142857101</v>
      </c>
      <c r="S120" s="3">
        <f t="shared" si="10"/>
        <v>-26198.812403439366</v>
      </c>
      <c r="T120" s="3">
        <f>SUM(S$86:S120)</f>
        <v>805310.84480672178</v>
      </c>
      <c r="U120" s="3" t="e">
        <f t="shared" si="7"/>
        <v>#DIV/0!</v>
      </c>
    </row>
    <row r="121" spans="2:21">
      <c r="B121" s="1">
        <v>36</v>
      </c>
      <c r="C121" s="44">
        <f>CHOOSE(Attend,'Attendance analysis'!O44,'Attendance analysis'!P44,'Attendance analysis'!Q44,'Attendance analysis'!R44,'Attendance analysis'!S44,'Attendance analysis'!T44,'Attendance analysis'!U44)</f>
        <v>2247.1428571428696</v>
      </c>
      <c r="E121" s="43">
        <f>CHOOSE(Rate,'Attendee giving analysis'!N103,'Attendee giving analysis'!O103,'Attendee giving analysis'!P103,'Attendee giving analysis'!Q103,'Attendee giving analysis'!R103,'Attendee giving analysis'!S103,'Attendee giving analysis'!T103)</f>
        <v>33.831043956043956</v>
      </c>
      <c r="G121" s="3">
        <f t="shared" si="11"/>
        <v>76023.188775510629</v>
      </c>
      <c r="I121" s="3">
        <v>1151.7142857142899</v>
      </c>
      <c r="J121" s="3">
        <f t="shared" si="12"/>
        <v>42194.915195915593</v>
      </c>
      <c r="M121" s="1">
        <v>36</v>
      </c>
      <c r="N121" s="43">
        <f>'Source data'!DQ43</f>
        <v>0</v>
      </c>
      <c r="O121" s="43">
        <f>'Source data'!DM43</f>
        <v>0</v>
      </c>
      <c r="P121" s="43" t="e">
        <f>'Source data'!DT43</f>
        <v>#DIV/0!</v>
      </c>
      <c r="R121" s="51">
        <f t="shared" si="9"/>
        <v>-1151.7142857142899</v>
      </c>
      <c r="S121" s="3">
        <f t="shared" si="10"/>
        <v>-42194.915195915593</v>
      </c>
      <c r="T121" s="3">
        <f>SUM(S$86:S121)</f>
        <v>763115.92961080617</v>
      </c>
      <c r="U121" s="3" t="e">
        <f t="shared" si="7"/>
        <v>#DIV/0!</v>
      </c>
    </row>
    <row r="122" spans="2:21">
      <c r="B122" s="1">
        <v>37</v>
      </c>
      <c r="C122" s="44">
        <f>CHOOSE(Attend,'Attendance analysis'!O45,'Attendance analysis'!P45,'Attendance analysis'!Q45,'Attendance analysis'!R45,'Attendance analysis'!S45,'Attendance analysis'!T45,'Attendance analysis'!U45)</f>
        <v>2391.1428571428551</v>
      </c>
      <c r="E122" s="43">
        <f>CHOOSE(Rate,'Attendee giving analysis'!N104,'Attendee giving analysis'!O104,'Attendee giving analysis'!P104,'Attendee giving analysis'!Q104,'Attendee giving analysis'!R104,'Attendee giving analysis'!S104,'Attendee giving analysis'!T104)</f>
        <v>22.557241977450129</v>
      </c>
      <c r="G122" s="3">
        <f t="shared" si="11"/>
        <v>53937.588031222847</v>
      </c>
      <c r="I122" s="3">
        <v>1225.5714285714494</v>
      </c>
      <c r="J122" s="3">
        <f t="shared" si="12"/>
        <v>29936.812563468968</v>
      </c>
      <c r="M122" s="1">
        <v>37</v>
      </c>
      <c r="N122" s="43">
        <f>'Source data'!DQ44</f>
        <v>0</v>
      </c>
      <c r="O122" s="43">
        <f>'Source data'!DM44</f>
        <v>0</v>
      </c>
      <c r="P122" s="43" t="e">
        <f>'Source data'!DT44</f>
        <v>#DIV/0!</v>
      </c>
      <c r="R122" s="51">
        <f t="shared" si="9"/>
        <v>-1225.5714285714494</v>
      </c>
      <c r="S122" s="3">
        <f t="shared" si="10"/>
        <v>-29936.812563468968</v>
      </c>
      <c r="T122" s="3">
        <f>SUM(S$86:S122)</f>
        <v>733179.11704733723</v>
      </c>
      <c r="U122" s="3" t="e">
        <f t="shared" si="7"/>
        <v>#DIV/0!</v>
      </c>
    </row>
    <row r="123" spans="2:21">
      <c r="B123" s="1">
        <v>38</v>
      </c>
      <c r="C123" s="44">
        <f>CHOOSE(Attend,'Attendance analysis'!O46,'Attendance analysis'!P46,'Attendance analysis'!Q46,'Attendance analysis'!R46,'Attendance analysis'!S46,'Attendance analysis'!T46,'Attendance analysis'!U46)</f>
        <v>2161.4285714285725</v>
      </c>
      <c r="E123" s="43">
        <f>CHOOSE(Rate,'Attendee giving analysis'!N105,'Attendee giving analysis'!O105,'Attendee giving analysis'!P105,'Attendee giving analysis'!Q105,'Attendee giving analysis'!R105,'Attendee giving analysis'!S105,'Attendee giving analysis'!T105)</f>
        <v>32.162420382165607</v>
      </c>
      <c r="G123" s="3">
        <f t="shared" si="11"/>
        <v>69516.774340309406</v>
      </c>
      <c r="I123" s="3">
        <v>1123.4285714285797</v>
      </c>
      <c r="J123" s="3">
        <f t="shared" si="12"/>
        <v>38583.680127448773</v>
      </c>
      <c r="M123" s="1">
        <v>38</v>
      </c>
      <c r="N123" s="43">
        <f>'Source data'!DQ45</f>
        <v>0</v>
      </c>
      <c r="O123" s="43">
        <f>'Source data'!DM45</f>
        <v>0</v>
      </c>
      <c r="P123" s="43" t="e">
        <f>'Source data'!DT45</f>
        <v>#DIV/0!</v>
      </c>
      <c r="R123" s="51">
        <f t="shared" si="9"/>
        <v>-1123.4285714285797</v>
      </c>
      <c r="S123" s="3">
        <f t="shared" si="10"/>
        <v>-38583.680127448773</v>
      </c>
      <c r="T123" s="3">
        <f>SUM(S$86:S123)</f>
        <v>694595.43691988848</v>
      </c>
      <c r="U123" s="3" t="e">
        <f t="shared" si="7"/>
        <v>#DIV/0!</v>
      </c>
    </row>
    <row r="124" spans="2:21">
      <c r="B124" s="1">
        <v>39</v>
      </c>
      <c r="C124" s="44">
        <f>CHOOSE(Attend,'Attendance analysis'!O47,'Attendance analysis'!P47,'Attendance analysis'!Q47,'Attendance analysis'!R47,'Attendance analysis'!S47,'Attendance analysis'!T47,'Attendance analysis'!U47)</f>
        <v>2023.4285714285725</v>
      </c>
      <c r="E124" s="43">
        <f>CHOOSE(Rate,'Attendee giving analysis'!N106,'Attendee giving analysis'!O106,'Attendee giving analysis'!P106,'Attendee giving analysis'!Q106,'Attendee giving analysis'!R106,'Attendee giving analysis'!S106,'Attendee giving analysis'!T106)</f>
        <v>41.795024875621891</v>
      </c>
      <c r="G124" s="3">
        <f t="shared" si="11"/>
        <v>84569.247476901248</v>
      </c>
      <c r="I124" s="3">
        <v>1050.5714285714203</v>
      </c>
      <c r="J124" s="3">
        <f t="shared" si="12"/>
        <v>46938.207709326365</v>
      </c>
      <c r="M124" s="1">
        <v>39</v>
      </c>
      <c r="N124" s="43">
        <f>'Source data'!DQ46</f>
        <v>0</v>
      </c>
      <c r="O124" s="43">
        <f>'Source data'!DM46</f>
        <v>0</v>
      </c>
      <c r="P124" s="43" t="e">
        <f>'Source data'!DT46</f>
        <v>#DIV/0!</v>
      </c>
      <c r="R124" s="51">
        <f t="shared" si="9"/>
        <v>-1050.5714285714203</v>
      </c>
      <c r="S124" s="3">
        <f t="shared" si="10"/>
        <v>-46938.207709326365</v>
      </c>
      <c r="T124" s="3">
        <f>SUM(S$86:S124)</f>
        <v>647657.22921056207</v>
      </c>
      <c r="U124" s="3" t="e">
        <f t="shared" si="7"/>
        <v>#DIV/0!</v>
      </c>
    </row>
    <row r="125" spans="2:21">
      <c r="B125" s="1">
        <v>40</v>
      </c>
      <c r="C125" s="44">
        <f>CHOOSE(Attend,'Attendance analysis'!O48,'Attendance analysis'!P48,'Attendance analysis'!Q48,'Attendance analysis'!R48,'Attendance analysis'!S48,'Attendance analysis'!T48,'Attendance analysis'!U48)</f>
        <v>1930</v>
      </c>
      <c r="E125" s="43">
        <f>CHOOSE(Rate,'Attendee giving analysis'!N107,'Attendee giving analysis'!O107,'Attendee giving analysis'!P107,'Attendee giving analysis'!Q107,'Attendee giving analysis'!R107,'Attendee giving analysis'!S107,'Attendee giving analysis'!T107)</f>
        <v>24.269818529130848</v>
      </c>
      <c r="G125" s="3">
        <f t="shared" si="11"/>
        <v>46840.749761222534</v>
      </c>
      <c r="I125" s="3">
        <v>1032.4285714285797</v>
      </c>
      <c r="J125" s="3">
        <f t="shared" si="12"/>
        <v>25997.876381167531</v>
      </c>
      <c r="M125" s="1">
        <v>40</v>
      </c>
      <c r="N125" s="43">
        <f>'Source data'!DQ47</f>
        <v>0</v>
      </c>
      <c r="O125" s="43">
        <f>'Source data'!DM47</f>
        <v>0</v>
      </c>
      <c r="P125" s="43" t="e">
        <f>'Source data'!DT47</f>
        <v>#DIV/0!</v>
      </c>
      <c r="R125" s="51">
        <f t="shared" si="9"/>
        <v>-1032.4285714285797</v>
      </c>
      <c r="S125" s="3">
        <f t="shared" si="10"/>
        <v>-25997.876381167531</v>
      </c>
      <c r="T125" s="3">
        <f>SUM(S$86:S125)</f>
        <v>621659.35282939451</v>
      </c>
      <c r="U125" s="3" t="e">
        <f t="shared" si="7"/>
        <v>#DIV/0!</v>
      </c>
    </row>
    <row r="126" spans="2:21">
      <c r="B126" s="1">
        <v>41</v>
      </c>
      <c r="C126" s="44">
        <f>CHOOSE(Attend,'Attendance analysis'!O49,'Attendance analysis'!P49,'Attendance analysis'!Q49,'Attendance analysis'!R49,'Attendance analysis'!S49,'Attendance analysis'!T49,'Attendance analysis'!U49)</f>
        <v>2017.9047619047633</v>
      </c>
      <c r="E126" s="43">
        <f>CHOOSE(Rate,'Attendee giving analysis'!N108,'Attendee giving analysis'!O108,'Attendee giving analysis'!P108,'Attendee giving analysis'!Q108,'Attendee giving analysis'!R108,'Attendee giving analysis'!S108,'Attendee giving analysis'!T108)</f>
        <v>40.963855421686745</v>
      </c>
      <c r="G126" s="3">
        <f t="shared" si="11"/>
        <v>82661.15892139994</v>
      </c>
      <c r="I126" s="3">
        <v>1062.7428571428609</v>
      </c>
      <c r="J126" s="3">
        <f t="shared" si="12"/>
        <v>45879.16722335809</v>
      </c>
      <c r="M126" s="1">
        <v>41</v>
      </c>
      <c r="N126" s="43">
        <f>'Source data'!DQ48</f>
        <v>0</v>
      </c>
      <c r="O126" s="43">
        <f>'Source data'!DM48</f>
        <v>0</v>
      </c>
      <c r="P126" s="43" t="e">
        <f>'Source data'!DT48</f>
        <v>#DIV/0!</v>
      </c>
      <c r="R126" s="51">
        <f t="shared" si="9"/>
        <v>-1062.7428571428609</v>
      </c>
      <c r="S126" s="3">
        <f t="shared" si="10"/>
        <v>-45879.16722335809</v>
      </c>
      <c r="T126" s="3">
        <f>SUM(S$86:S126)</f>
        <v>575780.18560603645</v>
      </c>
      <c r="U126" s="3" t="e">
        <f t="shared" si="7"/>
        <v>#DIV/0!</v>
      </c>
    </row>
    <row r="127" spans="2:21">
      <c r="B127" s="1">
        <v>42</v>
      </c>
      <c r="C127" s="44">
        <f>CHOOSE(Attend,'Attendance analysis'!O50,'Attendance analysis'!P50,'Attendance analysis'!Q50,'Attendance analysis'!R50,'Attendance analysis'!S50,'Attendance analysis'!T50,'Attendance analysis'!U50)</f>
        <v>2198.057142857142</v>
      </c>
      <c r="E127" s="43">
        <f>CHOOSE(Rate,'Attendee giving analysis'!N109,'Attendee giving analysis'!O109,'Attendee giving analysis'!P109,'Attendee giving analysis'!Q109,'Attendee giving analysis'!R109,'Attendee giving analysis'!S109,'Attendee giving analysis'!T109)</f>
        <v>31.728665207877462</v>
      </c>
      <c r="G127" s="3">
        <f t="shared" si="11"/>
        <v>69741.419193497946</v>
      </c>
      <c r="I127" s="3">
        <v>1084.5904761904967</v>
      </c>
      <c r="J127" s="3">
        <f t="shared" si="12"/>
        <v>38708.364065102054</v>
      </c>
      <c r="M127" s="1">
        <v>42</v>
      </c>
      <c r="N127" s="43">
        <f>'Source data'!DQ49</f>
        <v>0</v>
      </c>
      <c r="O127" s="43">
        <f>'Source data'!DM49</f>
        <v>0</v>
      </c>
      <c r="P127" s="43" t="e">
        <f>'Source data'!DT49</f>
        <v>#DIV/0!</v>
      </c>
      <c r="R127" s="51">
        <f t="shared" si="9"/>
        <v>-1084.5904761904967</v>
      </c>
      <c r="S127" s="3">
        <f t="shared" si="10"/>
        <v>-38708.364065102054</v>
      </c>
      <c r="T127" s="3">
        <f>SUM(S$86:S127)</f>
        <v>537071.82154093438</v>
      </c>
      <c r="U127" s="3" t="e">
        <f t="shared" si="7"/>
        <v>#DIV/0!</v>
      </c>
    </row>
    <row r="128" spans="2:21">
      <c r="B128" s="1">
        <v>43</v>
      </c>
      <c r="C128" s="44">
        <f>CHOOSE(Attend,'Attendance analysis'!O51,'Attendance analysis'!P51,'Attendance analysis'!Q51,'Attendance analysis'!R51,'Attendance analysis'!S51,'Attendance analysis'!T51,'Attendance analysis'!U51)</f>
        <v>1757.6380952381005</v>
      </c>
      <c r="E128" s="43">
        <f>CHOOSE(Rate,'Attendee giving analysis'!N110,'Attendee giving analysis'!O110,'Attendee giving analysis'!P110,'Attendee giving analysis'!Q110,'Attendee giving analysis'!R110,'Attendee giving analysis'!S110,'Attendee giving analysis'!T110)</f>
        <v>33.047735618115055</v>
      </c>
      <c r="G128" s="3">
        <f t="shared" si="11"/>
        <v>58085.959083756075</v>
      </c>
      <c r="I128" s="3">
        <v>944.23809523810633</v>
      </c>
      <c r="J128" s="3">
        <f t="shared" si="12"/>
        <v>32239.270110727452</v>
      </c>
      <c r="M128" s="1">
        <v>43</v>
      </c>
      <c r="N128" s="43">
        <f>'Source data'!DQ50</f>
        <v>0</v>
      </c>
      <c r="O128" s="43">
        <f>'Source data'!DM50</f>
        <v>0</v>
      </c>
      <c r="P128" s="43" t="e">
        <f>'Source data'!DT50</f>
        <v>#DIV/0!</v>
      </c>
      <c r="R128" s="51">
        <f t="shared" si="9"/>
        <v>-944.23809523810633</v>
      </c>
      <c r="S128" s="3">
        <f t="shared" si="10"/>
        <v>-32239.270110727452</v>
      </c>
      <c r="T128" s="3">
        <f>SUM(S$86:S128)</f>
        <v>504832.55143020692</v>
      </c>
      <c r="U128" s="3" t="e">
        <f t="shared" si="7"/>
        <v>#DIV/0!</v>
      </c>
    </row>
    <row r="129" spans="2:21">
      <c r="B129" s="1">
        <v>44</v>
      </c>
      <c r="C129" s="44">
        <f>CHOOSE(Attend,'Attendance analysis'!O52,'Attendance analysis'!P52,'Attendance analysis'!Q52,'Attendance analysis'!R52,'Attendance analysis'!S52,'Attendance analysis'!T52,'Attendance analysis'!U52)</f>
        <v>1820.6285714285768</v>
      </c>
      <c r="E129" s="43">
        <f>CHOOSE(Rate,'Attendee giving analysis'!N111,'Attendee giving analysis'!O111,'Attendee giving analysis'!P111,'Attendee giving analysis'!Q111,'Attendee giving analysis'!R111,'Attendee giving analysis'!S111,'Attendee giving analysis'!T111)</f>
        <v>25.91283863368669</v>
      </c>
      <c r="G129" s="3">
        <f t="shared" si="11"/>
        <v>47177.654383308232</v>
      </c>
      <c r="I129" s="3">
        <v>1016.0761904761894</v>
      </c>
      <c r="J129" s="3">
        <f t="shared" si="12"/>
        <v>26184.86751093973</v>
      </c>
      <c r="M129" s="1">
        <v>44</v>
      </c>
      <c r="N129" s="43">
        <f>'Source data'!DQ51</f>
        <v>0</v>
      </c>
      <c r="O129" s="43">
        <f>'Source data'!DM51</f>
        <v>0</v>
      </c>
      <c r="P129" s="43" t="e">
        <f>'Source data'!DT51</f>
        <v>#DIV/0!</v>
      </c>
      <c r="R129" s="51">
        <f t="shared" si="9"/>
        <v>-1016.0761904761894</v>
      </c>
      <c r="S129" s="3">
        <f t="shared" si="10"/>
        <v>-26184.86751093973</v>
      </c>
      <c r="T129" s="3">
        <f>SUM(S$86:S129)</f>
        <v>478647.68391926721</v>
      </c>
      <c r="U129" s="3" t="e">
        <f t="shared" si="7"/>
        <v>#DIV/0!</v>
      </c>
    </row>
    <row r="130" spans="2:21">
      <c r="B130" s="1">
        <v>45</v>
      </c>
      <c r="C130" s="44">
        <f>CHOOSE(Attend,'Attendance analysis'!O53,'Attendance analysis'!P53,'Attendance analysis'!Q53,'Attendance analysis'!R53,'Attendance analysis'!S53,'Attendance analysis'!T53,'Attendance analysis'!U53)</f>
        <v>2340.6095238095149</v>
      </c>
      <c r="E130" s="43">
        <f>CHOOSE(Rate,'Attendee giving analysis'!N112,'Attendee giving analysis'!O112,'Attendee giving analysis'!P112,'Attendee giving analysis'!Q112,'Attendee giving analysis'!R112,'Attendee giving analysis'!S112,'Attendee giving analysis'!T112)</f>
        <v>41.622198505869797</v>
      </c>
      <c r="G130" s="3">
        <f t="shared" si="11"/>
        <v>97421.314224729009</v>
      </c>
      <c r="I130" s="3">
        <v>1088.2476190476154</v>
      </c>
      <c r="J130" s="3">
        <f t="shared" si="12"/>
        <v>54071.450542880433</v>
      </c>
      <c r="M130" s="1">
        <v>45</v>
      </c>
      <c r="N130" s="43">
        <f>'Source data'!DQ52</f>
        <v>0</v>
      </c>
      <c r="O130" s="43">
        <f>'Source data'!DM52</f>
        <v>0</v>
      </c>
      <c r="P130" s="43" t="e">
        <f>'Source data'!DT52</f>
        <v>#DIV/0!</v>
      </c>
      <c r="R130" s="51">
        <f t="shared" si="9"/>
        <v>-1088.2476190476154</v>
      </c>
      <c r="S130" s="3">
        <f t="shared" si="10"/>
        <v>-54071.450542880433</v>
      </c>
      <c r="T130" s="3">
        <f>SUM(S$86:S130)</f>
        <v>424576.23337638675</v>
      </c>
      <c r="U130" s="3" t="e">
        <f t="shared" si="7"/>
        <v>#DIV/0!</v>
      </c>
    </row>
    <row r="131" spans="2:21">
      <c r="B131" s="1">
        <v>46</v>
      </c>
      <c r="C131" s="44">
        <f>CHOOSE(Attend,'Attendance analysis'!O54,'Attendance analysis'!P54,'Attendance analysis'!Q54,'Attendance analysis'!R54,'Attendance analysis'!S54,'Attendance analysis'!T54,'Attendance analysis'!U54)</f>
        <v>2154.6857142857189</v>
      </c>
      <c r="E131" s="43">
        <f>CHOOSE(Rate,'Attendee giving analysis'!N113,'Attendee giving analysis'!O113,'Attendee giving analysis'!P113,'Attendee giving analysis'!Q113,'Attendee giving analysis'!R113,'Attendee giving analysis'!S113,'Attendee giving analysis'!T113)</f>
        <v>23.630504833512351</v>
      </c>
      <c r="G131" s="3">
        <f t="shared" si="11"/>
        <v>50916.311186128689</v>
      </c>
      <c r="I131" s="3">
        <v>1069.666666666657</v>
      </c>
      <c r="J131" s="3">
        <f t="shared" si="12"/>
        <v>28259.922626129257</v>
      </c>
      <c r="M131" s="1">
        <v>46</v>
      </c>
      <c r="N131" s="43">
        <f>'Source data'!DQ53</f>
        <v>0</v>
      </c>
      <c r="O131" s="43">
        <f>'Source data'!DM53</f>
        <v>0</v>
      </c>
      <c r="P131" s="43" t="e">
        <f>'Source data'!DT53</f>
        <v>#DIV/0!</v>
      </c>
      <c r="R131" s="51">
        <f t="shared" si="9"/>
        <v>-1069.666666666657</v>
      </c>
      <c r="S131" s="3">
        <f t="shared" si="10"/>
        <v>-28259.922626129257</v>
      </c>
      <c r="T131" s="3">
        <f>SUM(S$86:S131)</f>
        <v>396316.31075025751</v>
      </c>
      <c r="U131" s="3" t="e">
        <f t="shared" si="7"/>
        <v>#DIV/0!</v>
      </c>
    </row>
    <row r="132" spans="2:21">
      <c r="B132" s="1">
        <v>47</v>
      </c>
      <c r="C132" s="44">
        <f>CHOOSE(Attend,'Attendance analysis'!O55,'Attendance analysis'!P55,'Attendance analysis'!Q55,'Attendance analysis'!R55,'Attendance analysis'!S55,'Attendance analysis'!T55,'Attendance analysis'!U55)</f>
        <v>2273.4285714285797</v>
      </c>
      <c r="E132" s="43">
        <f>CHOOSE(Rate,'Attendee giving analysis'!N114,'Attendee giving analysis'!O114,'Attendee giving analysis'!P114,'Attendee giving analysis'!Q114,'Attendee giving analysis'!R114,'Attendee giving analysis'!S114,'Attendee giving analysis'!T114)</f>
        <v>30.267753201396975</v>
      </c>
      <c r="G132" s="3">
        <f t="shared" si="11"/>
        <v>68811.574921004751</v>
      </c>
      <c r="I132" s="3">
        <v>1141.1142857142841</v>
      </c>
      <c r="J132" s="3">
        <f t="shared" si="12"/>
        <v>38192.275476143826</v>
      </c>
      <c r="M132" s="1">
        <v>47</v>
      </c>
      <c r="N132" s="43">
        <f>'Source data'!DQ54</f>
        <v>0</v>
      </c>
      <c r="O132" s="43">
        <f>'Source data'!DM54</f>
        <v>0</v>
      </c>
      <c r="P132" s="43" t="e">
        <f>'Source data'!DT54</f>
        <v>#DIV/0!</v>
      </c>
      <c r="R132" s="51">
        <f t="shared" si="9"/>
        <v>-1141.1142857142841</v>
      </c>
      <c r="S132" s="3">
        <f t="shared" si="10"/>
        <v>-38192.275476143826</v>
      </c>
      <c r="T132" s="3">
        <f>SUM(S$86:S132)</f>
        <v>358124.0352741137</v>
      </c>
      <c r="U132" s="3" t="e">
        <f t="shared" si="7"/>
        <v>#DIV/0!</v>
      </c>
    </row>
    <row r="133" spans="2:21">
      <c r="B133" s="1">
        <v>48</v>
      </c>
      <c r="C133" s="44">
        <f>CHOOSE(Attend,'Attendance analysis'!O56,'Attendance analysis'!P56,'Attendance analysis'!Q56,'Attendance analysis'!R56,'Attendance analysis'!S56,'Attendance analysis'!T56,'Attendance analysis'!U56)</f>
        <v>1713.2380952381063</v>
      </c>
      <c r="E133" s="43">
        <f>CHOOSE(Rate,'Attendee giving analysis'!N115,'Attendee giving analysis'!O115,'Attendee giving analysis'!P115,'Attendee giving analysis'!Q115,'Attendee giving analysis'!R115,'Attendee giving analysis'!S115,'Attendee giving analysis'!T115)</f>
        <v>40.057224606580832</v>
      </c>
      <c r="G133" s="3">
        <f t="shared" si="11"/>
        <v>68627.563185503546</v>
      </c>
      <c r="I133" s="3">
        <v>812.1809523809643</v>
      </c>
      <c r="J133" s="3">
        <f t="shared" si="12"/>
        <v>38090.144012052609</v>
      </c>
      <c r="M133" s="1">
        <v>48</v>
      </c>
      <c r="N133" s="43">
        <f>'Source data'!DQ55</f>
        <v>0</v>
      </c>
      <c r="O133" s="43">
        <f>'Source data'!DM55</f>
        <v>0</v>
      </c>
      <c r="P133" s="43" t="e">
        <f>'Source data'!DT55</f>
        <v>#DIV/0!</v>
      </c>
      <c r="R133" s="51">
        <f t="shared" si="9"/>
        <v>-812.1809523809643</v>
      </c>
      <c r="S133" s="3">
        <f t="shared" si="10"/>
        <v>-38090.144012052609</v>
      </c>
      <c r="T133" s="3">
        <f>SUM(S$86:S133)</f>
        <v>320033.89126206108</v>
      </c>
      <c r="U133" s="3" t="e">
        <f t="shared" si="7"/>
        <v>#DIV/0!</v>
      </c>
    </row>
    <row r="134" spans="2:21">
      <c r="B134" s="1">
        <v>49</v>
      </c>
      <c r="C134" s="44">
        <f>CHOOSE(Attend,'Attendance analysis'!O57,'Attendance analysis'!P57,'Attendance analysis'!Q57,'Attendance analysis'!R57,'Attendance analysis'!S57,'Attendance analysis'!T57,'Attendance analysis'!U57)</f>
        <v>2485.8857142857159</v>
      </c>
      <c r="E134" s="43">
        <f>CHOOSE(Rate,'Attendee giving analysis'!N116,'Attendee giving analysis'!O116,'Attendee giving analysis'!P116,'Attendee giving analysis'!Q116,'Attendee giving analysis'!R116,'Attendee giving analysis'!S116,'Attendee giving analysis'!T116)</f>
        <v>43.521266073194859</v>
      </c>
      <c r="G134" s="3">
        <f t="shared" si="11"/>
        <v>108188.8935989827</v>
      </c>
      <c r="I134" s="3">
        <v>1203.6761904761952</v>
      </c>
      <c r="J134" s="3">
        <f t="shared" si="12"/>
        <v>60047.746800375484</v>
      </c>
      <c r="M134" s="1">
        <v>49</v>
      </c>
      <c r="N134" s="43">
        <f>'Source data'!DQ56</f>
        <v>0</v>
      </c>
      <c r="O134" s="43">
        <f>'Source data'!DM56</f>
        <v>0</v>
      </c>
      <c r="P134" s="43" t="e">
        <f>'Source data'!DT56</f>
        <v>#DIV/0!</v>
      </c>
      <c r="R134" s="51">
        <f t="shared" si="9"/>
        <v>-1203.6761904761952</v>
      </c>
      <c r="S134" s="3">
        <f t="shared" si="10"/>
        <v>-60047.746800375484</v>
      </c>
      <c r="T134" s="3">
        <f>SUM(S$86:S134)</f>
        <v>259986.14446168559</v>
      </c>
      <c r="U134" s="3" t="e">
        <f t="shared" si="7"/>
        <v>#DIV/0!</v>
      </c>
    </row>
    <row r="135" spans="2:21">
      <c r="B135" s="1">
        <v>50</v>
      </c>
      <c r="C135" s="44">
        <f>CHOOSE(Attend,'Attendance analysis'!O58,'Attendance analysis'!P58,'Attendance analysis'!Q58,'Attendance analysis'!R58,'Attendance analysis'!S58,'Attendance analysis'!T58,'Attendance analysis'!U58)</f>
        <v>2370.3047619047575</v>
      </c>
      <c r="E135" s="43">
        <f>CHOOSE(Rate,'Attendee giving analysis'!N117,'Attendee giving analysis'!O117,'Attendee giving analysis'!P117,'Attendee giving analysis'!Q117,'Attendee giving analysis'!R117,'Attendee giving analysis'!S117,'Attendee giving analysis'!T117)</f>
        <v>27.964205816554809</v>
      </c>
      <c r="G135" s="3">
        <f t="shared" si="11"/>
        <v>66283.690209864581</v>
      </c>
      <c r="I135" s="3">
        <v>1175.0761904761894</v>
      </c>
      <c r="J135" s="3">
        <f t="shared" si="12"/>
        <v>36789.231448004211</v>
      </c>
      <c r="M135" s="1">
        <v>50</v>
      </c>
      <c r="N135" s="43">
        <f>'Source data'!DQ57</f>
        <v>0</v>
      </c>
      <c r="O135" s="43">
        <f>'Source data'!DM57</f>
        <v>0</v>
      </c>
      <c r="P135" s="43" t="e">
        <f>'Source data'!DT57</f>
        <v>#DIV/0!</v>
      </c>
      <c r="R135" s="51">
        <f t="shared" si="9"/>
        <v>-1175.0761904761894</v>
      </c>
      <c r="S135" s="3">
        <f t="shared" si="10"/>
        <v>-36789.231448004211</v>
      </c>
      <c r="T135" s="3">
        <f>SUM(S$86:S135)</f>
        <v>223196.91301368136</v>
      </c>
      <c r="U135" s="3" t="e">
        <f t="shared" si="7"/>
        <v>#DIV/0!</v>
      </c>
    </row>
    <row r="136" spans="2:21">
      <c r="B136" s="1">
        <v>51</v>
      </c>
      <c r="C136" s="44">
        <f>CHOOSE(Attend,'Attendance analysis'!O59,'Attendance analysis'!P59,'Attendance analysis'!Q59,'Attendance analysis'!R59,'Attendance analysis'!S59,'Attendance analysis'!T59,'Attendance analysis'!U59)</f>
        <v>1834.1523809523787</v>
      </c>
      <c r="E136" s="43">
        <f>CHOOSE(Rate,'Attendee giving analysis'!N118,'Attendee giving analysis'!O118,'Attendee giving analysis'!P118,'Attendee giving analysis'!Q118,'Attendee giving analysis'!R118,'Attendee giving analysis'!S118,'Attendee giving analysis'!T118)</f>
        <v>49.624060150375939</v>
      </c>
      <c r="G136" s="3">
        <f t="shared" si="11"/>
        <v>91018.088077336084</v>
      </c>
      <c r="I136" s="3">
        <v>868.94285714285797</v>
      </c>
      <c r="J136" s="3">
        <f t="shared" si="12"/>
        <v>50517.48775045744</v>
      </c>
      <c r="M136" s="1">
        <v>51</v>
      </c>
      <c r="N136" s="43">
        <f>'Source data'!DQ58</f>
        <v>0</v>
      </c>
      <c r="O136" s="43">
        <f>'Source data'!DM58</f>
        <v>0</v>
      </c>
      <c r="P136" s="43" t="e">
        <f>'Source data'!DT58</f>
        <v>#DIV/0!</v>
      </c>
      <c r="R136" s="51">
        <f t="shared" si="9"/>
        <v>-868.94285714285797</v>
      </c>
      <c r="S136" s="3">
        <f t="shared" si="10"/>
        <v>-50517.48775045744</v>
      </c>
      <c r="T136" s="3">
        <f>SUM(S$86:S136)</f>
        <v>172679.42526322394</v>
      </c>
      <c r="U136" s="3" t="e">
        <f t="shared" si="7"/>
        <v>#DIV/0!</v>
      </c>
    </row>
    <row r="137" spans="2:21">
      <c r="B137" s="1">
        <v>52</v>
      </c>
      <c r="C137" s="44">
        <f>CHOOSE(Attend,'Attendance analysis'!O60,'Attendance analysis'!P60,'Attendance analysis'!Q60,'Attendance analysis'!R60,'Attendance analysis'!S60,'Attendance analysis'!T60,'Attendance analysis'!U60)</f>
        <v>1382.5714285714348</v>
      </c>
      <c r="E137" s="43">
        <f>CHOOSE(Rate,'Attendee giving analysis'!N119,'Attendee giving analysis'!O119,'Attendee giving analysis'!P119,'Attendee giving analysis'!Q119,'Attendee giving analysis'!R119,'Attendee giving analysis'!S119,'Attendee giving analysis'!T119)</f>
        <v>56.390977443609025</v>
      </c>
      <c r="G137" s="3">
        <f t="shared" si="11"/>
        <v>77964.554242750091</v>
      </c>
      <c r="I137" s="3">
        <v>638.95238095238165</v>
      </c>
      <c r="J137" s="3">
        <f t="shared" si="12"/>
        <v>43272.425263223311</v>
      </c>
      <c r="M137" s="1">
        <v>52</v>
      </c>
      <c r="N137" s="43">
        <f>'Source data'!DQ59</f>
        <v>0</v>
      </c>
      <c r="O137" s="43">
        <f>'Source data'!DM59</f>
        <v>0</v>
      </c>
      <c r="P137" s="43" t="e">
        <f>'Source data'!DT59</f>
        <v>#DIV/0!</v>
      </c>
      <c r="R137" s="51">
        <f t="shared" si="9"/>
        <v>-638.95238095238165</v>
      </c>
      <c r="S137" s="3">
        <f t="shared" si="10"/>
        <v>-43272.425263223311</v>
      </c>
      <c r="T137" s="3">
        <f>SUM(S$86:S137)</f>
        <v>129407.00000000063</v>
      </c>
      <c r="U137" s="3" t="e">
        <f t="shared" si="7"/>
        <v>#DIV/0!</v>
      </c>
    </row>
    <row r="139" spans="2:21">
      <c r="B139" s="55" t="s">
        <v>3</v>
      </c>
      <c r="C139" s="35">
        <f>AVERAGE(C86:C137)</f>
        <v>1818.9663003663011</v>
      </c>
      <c r="E139" s="55" t="s">
        <v>5</v>
      </c>
      <c r="G139" s="28">
        <f>SUM(G86:G137)</f>
        <v>3345050.4512912058</v>
      </c>
      <c r="I139" s="35">
        <f>AVERAGE(I86:I137)</f>
        <v>951.66492673992775</v>
      </c>
      <c r="J139" s="28">
        <f>SUM(J86:J137)</f>
        <v>1856592.9999999995</v>
      </c>
      <c r="M139" s="1" t="s">
        <v>306</v>
      </c>
      <c r="N139" s="35">
        <f>AVERAGEIF(N86:N137,"&gt;0",N86:N137)</f>
        <v>1676.8666666666666</v>
      </c>
      <c r="O139" s="28">
        <f>SUM(O86:O137)</f>
        <v>1986000</v>
      </c>
      <c r="P139" s="1" t="s">
        <v>5</v>
      </c>
    </row>
    <row r="141" spans="2:21">
      <c r="J141" s="74" t="s">
        <v>356</v>
      </c>
      <c r="O141" s="3">
        <f>SUMIF(O86:O137,"&gt;0",J86:J137)</f>
        <v>1048160.7013794377</v>
      </c>
      <c r="P141" s="1" t="s">
        <v>308</v>
      </c>
    </row>
    <row r="142" spans="2:21">
      <c r="J142" s="75" t="s">
        <v>327</v>
      </c>
    </row>
    <row r="143" spans="2:21">
      <c r="J143" s="76" t="s">
        <v>282</v>
      </c>
      <c r="O143" s="28">
        <f>O139-O141</f>
        <v>937839.2986205623</v>
      </c>
      <c r="P143" s="1" t="str">
        <f>IF(O143&gt;0,"Amount over budget","Amount under budget")</f>
        <v>Amount over budget</v>
      </c>
    </row>
    <row r="144" spans="2:21">
      <c r="J144" s="77">
        <v>1856593</v>
      </c>
    </row>
    <row r="145" spans="15:16">
      <c r="O145" s="56">
        <f>O139/J144</f>
        <v>1.0697013292627948</v>
      </c>
      <c r="P145" s="1" t="s">
        <v>307</v>
      </c>
    </row>
    <row r="146" spans="15:16">
      <c r="O146" s="56">
        <f>O141/J144</f>
        <v>0.5645613774152104</v>
      </c>
      <c r="P146" s="1" t="s">
        <v>309</v>
      </c>
    </row>
    <row r="148" spans="15:16">
      <c r="O148" s="57">
        <f>O145-O146</f>
        <v>0.50513995184758442</v>
      </c>
      <c r="P148" s="1" t="str">
        <f>IF(O148&gt;0,"Percent over budget","Percent under budget")</f>
        <v>Percent over budget</v>
      </c>
    </row>
  </sheetData>
  <mergeCells count="6">
    <mergeCell ref="B13:G13"/>
    <mergeCell ref="M13:P13"/>
    <mergeCell ref="R13:U13"/>
    <mergeCell ref="B82:G82"/>
    <mergeCell ref="M82:P82"/>
    <mergeCell ref="R82:U8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R49"/>
  <sheetViews>
    <sheetView workbookViewId="0">
      <selection activeCell="F8" sqref="F8"/>
    </sheetView>
  </sheetViews>
  <sheetFormatPr defaultRowHeight="12.75"/>
  <cols>
    <col min="1" max="2" width="3.83203125" style="1" customWidth="1"/>
    <col min="3" max="3" width="9.33203125" style="1"/>
    <col min="4" max="4" width="3.83203125" style="1" customWidth="1"/>
    <col min="5" max="11" width="11.83203125" style="1" customWidth="1"/>
    <col min="12" max="12" width="13" style="1" customWidth="1"/>
    <col min="13" max="13" width="12.83203125" style="1" customWidth="1"/>
    <col min="14" max="14" width="12.5" style="1" bestFit="1" customWidth="1"/>
    <col min="15" max="16" width="9.33203125" style="1"/>
    <col min="17" max="17" width="11.6640625" style="1" bestFit="1" customWidth="1"/>
    <col min="18" max="16384" width="9.33203125" style="1"/>
  </cols>
  <sheetData>
    <row r="1" spans="1:18">
      <c r="A1" s="7" t="str">
        <f>Client</f>
        <v>Example Church</v>
      </c>
    </row>
    <row r="2" spans="1:18">
      <c r="A2" s="7" t="str">
        <f>FileName</f>
        <v>Budget proposal worksheet</v>
      </c>
    </row>
    <row r="3" spans="1:18">
      <c r="A3" s="7" t="s">
        <v>329</v>
      </c>
      <c r="O3" s="83" t="s">
        <v>335</v>
      </c>
      <c r="P3" s="81"/>
      <c r="Q3" s="81"/>
      <c r="R3" s="82">
        <v>8</v>
      </c>
    </row>
    <row r="4" spans="1:18">
      <c r="A4" s="8" t="str">
        <f>Date</f>
        <v>10/31/13</v>
      </c>
    </row>
    <row r="6" spans="1:18">
      <c r="L6" s="78"/>
    </row>
    <row r="7" spans="1:18">
      <c r="E7" s="5">
        <f t="shared" ref="E7" si="0">F7-1</f>
        <v>2005</v>
      </c>
      <c r="F7" s="5">
        <f t="shared" ref="F7" si="1">G7-1</f>
        <v>2006</v>
      </c>
      <c r="G7" s="5">
        <f t="shared" ref="G7" si="2">H7-1</f>
        <v>2007</v>
      </c>
      <c r="H7" s="5">
        <f t="shared" ref="H7" si="3">I7-1</f>
        <v>2008</v>
      </c>
      <c r="I7" s="5">
        <f t="shared" ref="I7" si="4">J7-1</f>
        <v>2009</v>
      </c>
      <c r="J7" s="5">
        <f t="shared" ref="J7" si="5">K7-1</f>
        <v>2010</v>
      </c>
      <c r="K7" s="5">
        <f>L7-1</f>
        <v>2011</v>
      </c>
      <c r="L7" s="92">
        <f t="shared" ref="L7:M7" si="6">M7-1</f>
        <v>2012</v>
      </c>
      <c r="M7" s="92">
        <f t="shared" si="6"/>
        <v>2013</v>
      </c>
      <c r="N7" s="92">
        <v>2014</v>
      </c>
    </row>
    <row r="9" spans="1:18">
      <c r="B9" s="1" t="s">
        <v>330</v>
      </c>
      <c r="E9" s="3">
        <f>'Source data'!E63</f>
        <v>1374000</v>
      </c>
      <c r="F9" s="3">
        <f>'Source data'!S63</f>
        <v>1728783.3600000003</v>
      </c>
      <c r="G9" s="3">
        <f>'Source data'!AG63</f>
        <v>1834000</v>
      </c>
      <c r="H9" s="3">
        <f>'Source data'!AU63</f>
        <v>1948094.94</v>
      </c>
      <c r="I9" s="3">
        <f>'Source data'!BI63</f>
        <v>2011289.3399999999</v>
      </c>
      <c r="J9" s="3">
        <f>'Source data'!BW63</f>
        <v>2557977.56</v>
      </c>
      <c r="K9" s="3">
        <f>'Source data'!CK63</f>
        <v>2886000</v>
      </c>
      <c r="L9" s="3">
        <f>'Source data'!CY63</f>
        <v>3144483.97585</v>
      </c>
      <c r="M9" s="79">
        <f>'Source data'!DM63+'Source data'!DM63*(SUMIF('Forecast to Actual'!M86:M137,"&gt;" &amp;RecentWeek,'Forecast to Actual'!J86:J137)/SUMIF('Forecast to Actual'!M86:M137,"&lt;=" &amp;RecentWeek,'Forecast to Actual'!J86:J137))</f>
        <v>3517775.1781262625</v>
      </c>
      <c r="N9" s="3">
        <f>CHOOSE(ProjBudgetTrigger,N26,N28,N29,N30,N31,N32,N33,N34,N35,N38)</f>
        <v>3362768</v>
      </c>
    </row>
    <row r="10" spans="1:18">
      <c r="F10" s="56">
        <f>(F9-E9)/E9</f>
        <v>0.25821205240174699</v>
      </c>
      <c r="G10" s="56">
        <f t="shared" ref="G10:M10" si="7">(G9-F9)/F9</f>
        <v>6.0861668636143999E-2</v>
      </c>
      <c r="H10" s="56">
        <f t="shared" si="7"/>
        <v>6.2210981461286771E-2</v>
      </c>
      <c r="I10" s="56">
        <f t="shared" si="7"/>
        <v>3.2439076095541787E-2</v>
      </c>
      <c r="J10" s="56">
        <f t="shared" si="7"/>
        <v>0.27180983318889379</v>
      </c>
      <c r="K10" s="56">
        <f t="shared" si="7"/>
        <v>0.12823507333660891</v>
      </c>
      <c r="L10" s="56">
        <f t="shared" si="7"/>
        <v>8.9564787196812212E-2</v>
      </c>
      <c r="M10" s="56">
        <f t="shared" si="7"/>
        <v>0.11871302418558402</v>
      </c>
    </row>
    <row r="11" spans="1:18">
      <c r="B11" s="1" t="s">
        <v>354</v>
      </c>
    </row>
    <row r="12" spans="1:18">
      <c r="C12" s="1" t="s">
        <v>4</v>
      </c>
      <c r="E12" s="3">
        <f>'Source data'!F63</f>
        <v>252000</v>
      </c>
      <c r="F12" s="3">
        <f>'Source data'!T63</f>
        <v>492000</v>
      </c>
      <c r="G12" s="3">
        <f>'Source data'!AH63</f>
        <v>466000</v>
      </c>
      <c r="H12" s="3">
        <f>'Source data'!AV63</f>
        <v>385000</v>
      </c>
      <c r="I12" s="3">
        <f>'Source data'!BJ63</f>
        <v>297000</v>
      </c>
      <c r="J12" s="3">
        <f>'Source data'!BX63</f>
        <v>99000</v>
      </c>
      <c r="K12" s="3">
        <f>'Source data'!CL63</f>
        <v>29000</v>
      </c>
      <c r="L12" s="3">
        <f>'Source data'!CZ63</f>
        <v>69100</v>
      </c>
      <c r="M12" s="3">
        <f>'Source data'!DN63</f>
        <v>18000</v>
      </c>
    </row>
    <row r="13" spans="1:18">
      <c r="C13" s="1" t="s">
        <v>353</v>
      </c>
      <c r="E13" s="3">
        <f>'Source data'!G63</f>
        <v>0</v>
      </c>
      <c r="F13" s="3">
        <f>'Source data'!U63</f>
        <v>0</v>
      </c>
      <c r="G13" s="3">
        <f>'Source data'!AI63</f>
        <v>0</v>
      </c>
      <c r="H13" s="3">
        <f>'Source data'!AW63</f>
        <v>0</v>
      </c>
      <c r="I13" s="3">
        <f>'Source data'!BK63</f>
        <v>92000</v>
      </c>
      <c r="J13" s="3">
        <f>'Source data'!BY63</f>
        <v>186000</v>
      </c>
      <c r="K13" s="3">
        <f>'Source data'!CM63</f>
        <v>190000</v>
      </c>
      <c r="L13" s="3">
        <f>'Source data'!DA63</f>
        <v>0</v>
      </c>
      <c r="M13" s="3">
        <f>'Source data'!DO63</f>
        <v>0</v>
      </c>
    </row>
    <row r="15" spans="1:18">
      <c r="B15" s="1" t="s">
        <v>5</v>
      </c>
      <c r="E15" s="3">
        <f t="shared" ref="E15" si="8">E9+E12+E13</f>
        <v>1626000</v>
      </c>
      <c r="F15" s="3">
        <f>F9+F12+F13</f>
        <v>2220783.3600000003</v>
      </c>
      <c r="G15" s="3">
        <f t="shared" ref="G15:L15" si="9">G9+G12+G13</f>
        <v>2300000</v>
      </c>
      <c r="H15" s="3">
        <f t="shared" si="9"/>
        <v>2333094.94</v>
      </c>
      <c r="I15" s="3">
        <f t="shared" si="9"/>
        <v>2400289.34</v>
      </c>
      <c r="J15" s="3">
        <f t="shared" si="9"/>
        <v>2842977.56</v>
      </c>
      <c r="K15" s="3">
        <f t="shared" si="9"/>
        <v>3105000</v>
      </c>
      <c r="L15" s="3">
        <f t="shared" si="9"/>
        <v>3213583.97585</v>
      </c>
      <c r="M15" s="3">
        <f t="shared" ref="M15" si="10">M9+M12+M13</f>
        <v>3535775.1781262625</v>
      </c>
    </row>
    <row r="16" spans="1:18">
      <c r="F16" s="56">
        <f t="shared" ref="F16:M16" si="11">(F15-E15)/E15</f>
        <v>0.36579542435424373</v>
      </c>
      <c r="G16" s="56">
        <f t="shared" si="11"/>
        <v>3.5670584275271068E-2</v>
      </c>
      <c r="H16" s="56">
        <f t="shared" si="11"/>
        <v>1.4389104347826063E-2</v>
      </c>
      <c r="I16" s="56">
        <f t="shared" si="11"/>
        <v>2.8800542510284605E-2</v>
      </c>
      <c r="J16" s="56">
        <f t="shared" si="11"/>
        <v>0.18443119028308488</v>
      </c>
      <c r="K16" s="56">
        <f t="shared" si="11"/>
        <v>9.2164793590562122E-2</v>
      </c>
      <c r="L16" s="56">
        <f t="shared" si="11"/>
        <v>3.4970684653784237E-2</v>
      </c>
      <c r="M16" s="56">
        <f t="shared" si="11"/>
        <v>0.10025915137040792</v>
      </c>
    </row>
    <row r="17" spans="1:15">
      <c r="C17" s="2" t="s">
        <v>331</v>
      </c>
      <c r="E17" s="3">
        <f>'Source data'!G65-E15</f>
        <v>0</v>
      </c>
      <c r="F17" s="3">
        <f>'Source data'!U65-F15</f>
        <v>0</v>
      </c>
      <c r="G17" s="3">
        <f>'Source data'!AI65-G15</f>
        <v>0</v>
      </c>
      <c r="H17" s="3">
        <f>'Source data'!AW65-H15</f>
        <v>0</v>
      </c>
      <c r="I17" s="3">
        <f>'Source data'!BK65-I15</f>
        <v>0</v>
      </c>
      <c r="J17" s="3">
        <f>'Source data'!BY65-J15</f>
        <v>0</v>
      </c>
      <c r="K17" s="3">
        <f>'Source data'!CM65-K15</f>
        <v>0</v>
      </c>
      <c r="L17" s="3">
        <f>'Source data'!DA65-L15</f>
        <v>0</v>
      </c>
      <c r="M17" s="3">
        <f>'Source data'!DO65-M15</f>
        <v>-1531775.1781262625</v>
      </c>
    </row>
    <row r="19" spans="1:15">
      <c r="B19" s="1" t="s">
        <v>62</v>
      </c>
      <c r="E19" s="3">
        <f>'Attendance analysis'!C62</f>
        <v>2121.7692307692309</v>
      </c>
      <c r="F19" s="3">
        <f>'Attendance analysis'!D62</f>
        <v>2097.4615384615386</v>
      </c>
      <c r="G19" s="3">
        <f>'Attendance analysis'!E62</f>
        <v>1110.3846153846155</v>
      </c>
      <c r="H19" s="3">
        <f>'Attendance analysis'!F62</f>
        <v>1721.2884615384614</v>
      </c>
      <c r="I19" s="3">
        <f>'Attendance analysis'!G62</f>
        <v>1497.9230769230769</v>
      </c>
      <c r="J19" s="3">
        <f>'Attendance analysis'!H62</f>
        <v>2374.9423076923076</v>
      </c>
      <c r="K19" s="3">
        <f>'Attendance analysis'!I62</f>
        <v>1588.1153846153845</v>
      </c>
      <c r="L19" s="3">
        <f>'Attendance analysis'!J62</f>
        <v>1723.3846153846155</v>
      </c>
      <c r="M19" s="3">
        <f>'Attendance analysis'!K62</f>
        <v>967.42307692307691</v>
      </c>
    </row>
    <row r="20" spans="1:15">
      <c r="F20" s="56">
        <f t="shared" ref="F20" si="12">(F19-E19)/E19</f>
        <v>-1.1456331798571615E-2</v>
      </c>
      <c r="G20" s="56">
        <f t="shared" ref="G20" si="13">(G19-F19)/F19</f>
        <v>-0.47060549382036893</v>
      </c>
      <c r="H20" s="56">
        <f t="shared" ref="H20" si="14">(H19-G19)/G19</f>
        <v>0.55017319016279853</v>
      </c>
      <c r="I20" s="56">
        <f t="shared" ref="I20" si="15">(I19-H19)/H19</f>
        <v>-0.12976638698649262</v>
      </c>
      <c r="J20" s="56">
        <f t="shared" ref="J20" si="16">(J19-I19)/I19</f>
        <v>0.58549016587069269</v>
      </c>
      <c r="K20" s="56">
        <f t="shared" ref="K20" si="17">(K19-J19)/J19</f>
        <v>-0.33130359441929763</v>
      </c>
      <c r="L20" s="56">
        <f t="shared" ref="L20:M20" si="18">(L19-K19)/K19</f>
        <v>8.5175946332130603E-2</v>
      </c>
      <c r="M20" s="56">
        <f t="shared" si="18"/>
        <v>-0.43864934833065528</v>
      </c>
    </row>
    <row r="23" spans="1:15">
      <c r="M23" s="112">
        <v>2013</v>
      </c>
      <c r="N23" s="112"/>
    </row>
    <row r="24" spans="1:15">
      <c r="A24" s="7" t="s">
        <v>332</v>
      </c>
      <c r="F24" s="86" t="s">
        <v>7</v>
      </c>
      <c r="M24" s="1" t="s">
        <v>345</v>
      </c>
      <c r="N24" s="1" t="s">
        <v>7</v>
      </c>
    </row>
    <row r="25" spans="1:15">
      <c r="F25" s="86" t="s">
        <v>346</v>
      </c>
    </row>
    <row r="26" spans="1:15">
      <c r="A26" s="1">
        <v>1</v>
      </c>
      <c r="B26" s="1" t="s">
        <v>337</v>
      </c>
      <c r="F26" s="6">
        <f>(TREND(F9:L9,F7:L7,M7)-L9)/L9</f>
        <v>4.8167149686010192E-2</v>
      </c>
      <c r="M26" s="85">
        <f t="shared" ref="M26:M32" si="19">$M$15*(1+F26)</f>
        <v>3706083.3903871491</v>
      </c>
      <c r="N26" s="3">
        <f t="shared" ref="N26:N32" si="20">$M$9*(1+F26)</f>
        <v>3687216.3816928011</v>
      </c>
      <c r="O26" s="6">
        <f t="shared" ref="O26:O39" si="21">(N26-$L$9)/$L$9</f>
        <v>0.17259824187722012</v>
      </c>
    </row>
    <row r="27" spans="1:15">
      <c r="A27" s="1">
        <v>2</v>
      </c>
      <c r="B27" s="1" t="s">
        <v>338</v>
      </c>
      <c r="F27" s="84">
        <f>(TREND(F19:L19,F7:L7,M7)-L19)/L19</f>
        <v>4.4488229142758823E-2</v>
      </c>
      <c r="M27" s="85">
        <f t="shared" si="19"/>
        <v>3693075.5544480225</v>
      </c>
      <c r="N27" s="3">
        <f t="shared" si="20"/>
        <v>3674274.7663234528</v>
      </c>
      <c r="O27" s="6">
        <f t="shared" si="21"/>
        <v>0.16848258555054094</v>
      </c>
    </row>
    <row r="28" spans="1:15">
      <c r="A28" s="1">
        <v>3</v>
      </c>
      <c r="B28" s="1" t="s">
        <v>334</v>
      </c>
      <c r="F28" s="6">
        <v>0.03</v>
      </c>
      <c r="M28" s="85">
        <f t="shared" si="19"/>
        <v>3641848.4334700503</v>
      </c>
      <c r="N28" s="3">
        <f t="shared" si="20"/>
        <v>3623308.4334700503</v>
      </c>
      <c r="O28" s="6">
        <f t="shared" si="21"/>
        <v>0.15227441491115154</v>
      </c>
    </row>
    <row r="29" spans="1:15">
      <c r="A29" s="1">
        <v>4</v>
      </c>
      <c r="B29" s="1" t="s">
        <v>334</v>
      </c>
      <c r="F29" s="6">
        <v>0.05</v>
      </c>
      <c r="M29" s="85">
        <f t="shared" si="19"/>
        <v>3712563.9370325757</v>
      </c>
      <c r="N29" s="3">
        <f t="shared" si="20"/>
        <v>3693663.9370325757</v>
      </c>
      <c r="O29" s="6">
        <f t="shared" si="21"/>
        <v>0.17464867539486326</v>
      </c>
    </row>
    <row r="30" spans="1:15">
      <c r="A30" s="1">
        <v>5</v>
      </c>
      <c r="B30" s="1" t="s">
        <v>334</v>
      </c>
      <c r="F30" s="6">
        <v>0.1</v>
      </c>
      <c r="M30" s="85">
        <f t="shared" si="19"/>
        <v>3889352.6959388889</v>
      </c>
      <c r="N30" s="3">
        <f t="shared" si="20"/>
        <v>3869552.6959388889</v>
      </c>
      <c r="O30" s="6">
        <f t="shared" si="21"/>
        <v>0.23058432660414249</v>
      </c>
    </row>
    <row r="31" spans="1:15">
      <c r="A31" s="1">
        <v>6</v>
      </c>
      <c r="B31" s="1" t="s">
        <v>334</v>
      </c>
      <c r="F31" s="6">
        <v>0.15</v>
      </c>
      <c r="M31" s="85">
        <f t="shared" si="19"/>
        <v>4066141.4548452017</v>
      </c>
      <c r="N31" s="3">
        <f t="shared" si="20"/>
        <v>4045441.4548452017</v>
      </c>
      <c r="O31" s="6">
        <f t="shared" si="21"/>
        <v>0.28651997781342159</v>
      </c>
    </row>
    <row r="32" spans="1:15">
      <c r="A32" s="1">
        <v>7</v>
      </c>
      <c r="B32" s="1" t="s">
        <v>334</v>
      </c>
      <c r="F32" s="6">
        <v>0.2</v>
      </c>
      <c r="M32" s="85">
        <f t="shared" si="19"/>
        <v>4242930.2137515144</v>
      </c>
      <c r="N32" s="3">
        <f t="shared" si="20"/>
        <v>4221330.2137515144</v>
      </c>
      <c r="O32" s="6">
        <f t="shared" si="21"/>
        <v>0.34245562902270066</v>
      </c>
    </row>
    <row r="33" spans="1:17">
      <c r="A33" s="1">
        <v>8</v>
      </c>
      <c r="B33" s="1" t="s">
        <v>342</v>
      </c>
      <c r="M33" s="95">
        <v>3986778</v>
      </c>
      <c r="N33" s="96">
        <v>3428396</v>
      </c>
      <c r="O33" s="6">
        <f t="shared" si="21"/>
        <v>9.0288907919543263E-2</v>
      </c>
      <c r="Q33" s="1" t="s">
        <v>355</v>
      </c>
    </row>
    <row r="34" spans="1:17">
      <c r="A34" s="1">
        <v>9</v>
      </c>
      <c r="B34" s="1" t="s">
        <v>340</v>
      </c>
      <c r="M34" s="95">
        <v>3533726</v>
      </c>
      <c r="N34" s="96">
        <v>3362768</v>
      </c>
      <c r="O34" s="6">
        <f t="shared" si="21"/>
        <v>6.9418074897645038E-2</v>
      </c>
    </row>
    <row r="35" spans="1:17">
      <c r="A35" s="1">
        <v>10</v>
      </c>
      <c r="B35" s="1" t="s">
        <v>333</v>
      </c>
      <c r="M35" s="95">
        <v>3164970</v>
      </c>
      <c r="N35" s="96">
        <v>3012316</v>
      </c>
      <c r="O35" s="6">
        <f t="shared" si="21"/>
        <v>-4.2031690053142376E-2</v>
      </c>
    </row>
    <row r="36" spans="1:17">
      <c r="A36" s="1">
        <v>11</v>
      </c>
      <c r="B36" s="1" t="s">
        <v>343</v>
      </c>
      <c r="M36" s="95">
        <v>3570662</v>
      </c>
      <c r="N36" s="96">
        <v>3077130</v>
      </c>
      <c r="O36" s="6">
        <f t="shared" si="21"/>
        <v>-2.1419723034776565E-2</v>
      </c>
    </row>
    <row r="37" spans="1:17">
      <c r="A37" s="1">
        <v>12</v>
      </c>
      <c r="B37" s="1" t="s">
        <v>344</v>
      </c>
      <c r="M37" s="95">
        <v>3683830</v>
      </c>
      <c r="N37" s="96">
        <v>3176498</v>
      </c>
      <c r="O37" s="6">
        <f t="shared" si="21"/>
        <v>1.0181010428379142E-2</v>
      </c>
    </row>
    <row r="38" spans="1:17">
      <c r="A38" s="1">
        <v>13</v>
      </c>
      <c r="B38" s="1" t="s">
        <v>336</v>
      </c>
      <c r="M38" s="95">
        <v>5789654</v>
      </c>
      <c r="N38" s="96">
        <v>3983888</v>
      </c>
      <c r="O38" s="6">
        <f t="shared" si="21"/>
        <v>0.26694492024660316</v>
      </c>
    </row>
    <row r="39" spans="1:17">
      <c r="A39" s="1">
        <v>14</v>
      </c>
      <c r="B39" s="1" t="s">
        <v>341</v>
      </c>
      <c r="M39" s="95">
        <v>6322592</v>
      </c>
      <c r="N39" s="96">
        <v>4317644</v>
      </c>
      <c r="O39" s="6">
        <f t="shared" si="21"/>
        <v>0.37308506997014595</v>
      </c>
    </row>
    <row r="40" spans="1:17">
      <c r="L40" s="3"/>
      <c r="M40" s="26"/>
    </row>
    <row r="41" spans="1:17">
      <c r="M41" s="3"/>
    </row>
    <row r="42" spans="1:17">
      <c r="M42" s="3"/>
    </row>
    <row r="43" spans="1:17">
      <c r="M43" s="3"/>
    </row>
    <row r="44" spans="1:17">
      <c r="M44" s="3"/>
    </row>
    <row r="45" spans="1:17">
      <c r="M45" s="3"/>
    </row>
    <row r="46" spans="1:17">
      <c r="M46" s="3"/>
    </row>
    <row r="47" spans="1:17">
      <c r="M47" s="3"/>
    </row>
    <row r="48" spans="1:17">
      <c r="M48" s="3"/>
    </row>
    <row r="49" spans="13:13">
      <c r="M49" s="3"/>
    </row>
  </sheetData>
  <mergeCells count="1">
    <mergeCell ref="M23:N23"/>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dimension ref="A1:I139"/>
  <sheetViews>
    <sheetView workbookViewId="0"/>
  </sheetViews>
  <sheetFormatPr defaultColWidth="8.83203125" defaultRowHeight="12.75"/>
  <cols>
    <col min="1" max="1" width="2.83203125" style="1" customWidth="1"/>
    <col min="2" max="3" width="13.83203125" style="1" customWidth="1"/>
    <col min="4" max="4" width="2.83203125" style="1" customWidth="1"/>
    <col min="5" max="5" width="13.83203125" style="1" customWidth="1"/>
    <col min="6" max="6" width="2.83203125" style="1" customWidth="1"/>
    <col min="7" max="7" width="13.83203125" style="1" customWidth="1"/>
    <col min="8" max="8" width="20.5" style="1" customWidth="1"/>
    <col min="9" max="9" width="15.83203125" style="1" customWidth="1"/>
    <col min="10" max="10" width="2.83203125" style="1" customWidth="1"/>
    <col min="11" max="16384" width="8.83203125" style="1"/>
  </cols>
  <sheetData>
    <row r="1" spans="1:9">
      <c r="A1" s="69" t="str">
        <f>Client</f>
        <v>Example Church</v>
      </c>
    </row>
    <row r="2" spans="1:9">
      <c r="A2" s="7" t="str">
        <f>FileName</f>
        <v>Budget proposal worksheet</v>
      </c>
    </row>
    <row r="3" spans="1:9">
      <c r="A3" s="7" t="s">
        <v>283</v>
      </c>
    </row>
    <row r="4" spans="1:9">
      <c r="A4" s="8" t="str">
        <f>Date</f>
        <v>10/31/13</v>
      </c>
    </row>
    <row r="7" spans="1:9">
      <c r="B7" s="29" t="s">
        <v>285</v>
      </c>
      <c r="C7" s="30"/>
      <c r="D7" s="30"/>
      <c r="E7" s="30"/>
      <c r="F7" s="30"/>
      <c r="G7" s="30"/>
      <c r="H7" s="30"/>
      <c r="I7" s="31">
        <v>7</v>
      </c>
    </row>
    <row r="8" spans="1:9">
      <c r="B8" s="32" t="s">
        <v>322</v>
      </c>
      <c r="C8" s="33"/>
      <c r="D8" s="33"/>
      <c r="E8" s="33"/>
      <c r="F8" s="33"/>
      <c r="G8" s="33"/>
      <c r="H8" s="33"/>
      <c r="I8" s="34" t="str">
        <f>CHOOSE(Attend,"High","Average","Low","Ave. last 3 years", "Ave. last 2 years", "Last year", "Trend analysis")</f>
        <v>Trend analysis</v>
      </c>
    </row>
    <row r="10" spans="1:9">
      <c r="B10" s="29" t="s">
        <v>284</v>
      </c>
      <c r="C10" s="30"/>
      <c r="D10" s="30"/>
      <c r="E10" s="30"/>
      <c r="F10" s="30"/>
      <c r="G10" s="30"/>
      <c r="H10" s="30"/>
      <c r="I10" s="31">
        <v>7</v>
      </c>
    </row>
    <row r="11" spans="1:9">
      <c r="B11" s="32" t="s">
        <v>300</v>
      </c>
      <c r="C11" s="33"/>
      <c r="D11" s="33"/>
      <c r="E11" s="33"/>
      <c r="F11" s="33"/>
      <c r="G11" s="33"/>
      <c r="H11" s="33"/>
      <c r="I11" s="34" t="str">
        <f>CHOOSE(Rate,"High","Average","Low","Ave. last 3 years", "Ave. last 2 years", "Last year", "Trend analysis")</f>
        <v>Trend analysis</v>
      </c>
    </row>
    <row r="12" spans="1:9">
      <c r="B12" s="52"/>
      <c r="C12" s="52"/>
      <c r="D12" s="52"/>
      <c r="E12" s="52"/>
      <c r="F12" s="52"/>
      <c r="G12" s="52"/>
      <c r="H12" s="52"/>
      <c r="I12" s="53"/>
    </row>
    <row r="13" spans="1:9">
      <c r="B13" s="111" t="s">
        <v>312</v>
      </c>
      <c r="C13" s="111"/>
      <c r="D13" s="111"/>
      <c r="E13" s="111"/>
      <c r="F13" s="111"/>
      <c r="G13" s="111"/>
    </row>
    <row r="14" spans="1:9">
      <c r="E14" s="19" t="s">
        <v>5</v>
      </c>
    </row>
    <row r="15" spans="1:9">
      <c r="C15" s="19"/>
      <c r="E15" s="19" t="s">
        <v>279</v>
      </c>
      <c r="G15" s="19" t="s">
        <v>281</v>
      </c>
    </row>
    <row r="16" spans="1:9">
      <c r="B16" s="22" t="s">
        <v>0</v>
      </c>
      <c r="C16" s="22" t="s">
        <v>62</v>
      </c>
      <c r="E16" s="22" t="s">
        <v>280</v>
      </c>
      <c r="G16" s="22" t="s">
        <v>282</v>
      </c>
    </row>
    <row r="17" spans="1:7">
      <c r="B17" s="1">
        <v>1</v>
      </c>
      <c r="C17" s="44">
        <f>CHOOSE(Attend,'Attendance analysis'!O9,'Attendance analysis'!P9,'Attendance analysis'!Q9,'Attendance analysis'!R9,'Attendance analysis'!S9,'Attendance analysis'!T9,'Attendance analysis'!U9)</f>
        <v>1345.7857142857174</v>
      </c>
      <c r="E17" s="43">
        <f>CHOOSE(Rate,'Attendee giving analysis'!N9,'Attendee giving analysis'!O9,'Attendee giving analysis'!P9,'Attendee giving analysis'!Q9,'Attendee giving analysis'!R9,'Attendee giving analysis'!S9,'Attendee giving analysis'!T9)</f>
        <v>52.17954497928713</v>
      </c>
      <c r="G17" s="3">
        <f>C17*E17</f>
        <v>70222.486211053649</v>
      </c>
    </row>
    <row r="18" spans="1:7">
      <c r="B18" s="1">
        <v>2</v>
      </c>
      <c r="C18" s="44">
        <f>CHOOSE(Attend,'Attendance analysis'!O10,'Attendance analysis'!P10,'Attendance analysis'!Q10,'Attendance analysis'!R10,'Attendance analysis'!S10,'Attendance analysis'!T10,'Attendance analysis'!U10)</f>
        <v>1693.1785714285797</v>
      </c>
      <c r="E18" s="43">
        <f>CHOOSE(Rate,'Attendee giving analysis'!N10,'Attendee giving analysis'!O10,'Attendee giving analysis'!P10,'Attendee giving analysis'!Q10,'Attendee giving analysis'!R10,'Attendee giving analysis'!S10,'Attendee giving analysis'!T10)</f>
        <v>37.436891265794657</v>
      </c>
      <c r="G18" s="3">
        <f t="shared" ref="G18:G68" si="0">C18*E18</f>
        <v>63387.342072145271</v>
      </c>
    </row>
    <row r="19" spans="1:7">
      <c r="A19" s="17"/>
      <c r="B19" s="1">
        <v>3</v>
      </c>
      <c r="C19" s="44">
        <f>CHOOSE(Attend,'Attendance analysis'!O11,'Attendance analysis'!P11,'Attendance analysis'!Q11,'Attendance analysis'!R11,'Attendance analysis'!S11,'Attendance analysis'!T11,'Attendance analysis'!U11)</f>
        <v>1585.9642857142899</v>
      </c>
      <c r="E19" s="43">
        <f>CHOOSE(Rate,'Attendee giving analysis'!N11,'Attendee giving analysis'!O11,'Attendee giving analysis'!P11,'Attendee giving analysis'!Q11,'Attendee giving analysis'!R11,'Attendee giving analysis'!S11,'Attendee giving analysis'!T11)</f>
        <v>39.510325062245101</v>
      </c>
      <c r="G19" s="3">
        <f t="shared" si="0"/>
        <v>62661.964465682955</v>
      </c>
    </row>
    <row r="20" spans="1:7">
      <c r="B20" s="1">
        <v>4</v>
      </c>
      <c r="C20" s="44">
        <f>CHOOSE(Attend,'Attendance analysis'!O12,'Attendance analysis'!P12,'Attendance analysis'!Q12,'Attendance analysis'!R12,'Attendance analysis'!S12,'Attendance analysis'!T12,'Attendance analysis'!U12)</f>
        <v>1765.0357142857174</v>
      </c>
      <c r="E20" s="43">
        <f>CHOOSE(Rate,'Attendee giving analysis'!N12,'Attendee giving analysis'!O12,'Attendee giving analysis'!P12,'Attendee giving analysis'!Q12,'Attendee giving analysis'!R12,'Attendee giving analysis'!S12,'Attendee giving analysis'!T12)</f>
        <v>39.559709048540753</v>
      </c>
      <c r="G20" s="3">
        <f t="shared" si="0"/>
        <v>69824.299317426281</v>
      </c>
    </row>
    <row r="21" spans="1:7">
      <c r="B21" s="1">
        <v>5</v>
      </c>
      <c r="C21" s="44">
        <f>CHOOSE(Attend,'Attendance analysis'!O13,'Attendance analysis'!P13,'Attendance analysis'!Q13,'Attendance analysis'!R13,'Attendance analysis'!S13,'Attendance analysis'!T13,'Attendance analysis'!U13)</f>
        <v>1834.6071428571422</v>
      </c>
      <c r="E21" s="43">
        <f>CHOOSE(Rate,'Attendee giving analysis'!N13,'Attendee giving analysis'!O13,'Attendee giving analysis'!P13,'Attendee giving analysis'!Q13,'Attendee giving analysis'!R13,'Attendee giving analysis'!S13,'Attendee giving analysis'!T13)</f>
        <v>27.147318419573821</v>
      </c>
      <c r="G21" s="3">
        <f t="shared" si="0"/>
        <v>49804.664281967394</v>
      </c>
    </row>
    <row r="22" spans="1:7">
      <c r="B22" s="1">
        <v>6</v>
      </c>
      <c r="C22" s="44">
        <f>CHOOSE(Attend,'Attendance analysis'!O14,'Attendance analysis'!P14,'Attendance analysis'!Q14,'Attendance analysis'!R14,'Attendance analysis'!S14,'Attendance analysis'!T14,'Attendance analysis'!U14)</f>
        <v>2073.6785714285652</v>
      </c>
      <c r="E22" s="43">
        <f>CHOOSE(Rate,'Attendee giving analysis'!N14,'Attendee giving analysis'!O14,'Attendee giving analysis'!P14,'Attendee giving analysis'!Q14,'Attendee giving analysis'!R14,'Attendee giving analysis'!S14,'Attendee giving analysis'!T14)</f>
        <v>40.691124683790804</v>
      </c>
      <c r="G22" s="3">
        <f t="shared" si="0"/>
        <v>84380.313304104944</v>
      </c>
    </row>
    <row r="23" spans="1:7">
      <c r="B23" s="1">
        <v>7</v>
      </c>
      <c r="C23" s="44">
        <f>CHOOSE(Attend,'Attendance analysis'!O15,'Attendance analysis'!P15,'Attendance analysis'!Q15,'Attendance analysis'!R15,'Attendance analysis'!S15,'Attendance analysis'!T15,'Attendance analysis'!U15)</f>
        <v>1991.7142857142899</v>
      </c>
      <c r="E23" s="43">
        <f>CHOOSE(Rate,'Attendee giving analysis'!N15,'Attendee giving analysis'!O15,'Attendee giving analysis'!P15,'Attendee giving analysis'!Q15,'Attendee giving analysis'!R15,'Attendee giving analysis'!S15,'Attendee giving analysis'!T15)</f>
        <v>34.943622880571183</v>
      </c>
      <c r="G23" s="3">
        <f t="shared" si="0"/>
        <v>69597.712885846355</v>
      </c>
    </row>
    <row r="24" spans="1:7">
      <c r="B24" s="1">
        <v>8</v>
      </c>
      <c r="C24" s="44">
        <f>CHOOSE(Attend,'Attendance analysis'!O16,'Attendance analysis'!P16,'Attendance analysis'!Q16,'Attendance analysis'!R16,'Attendance analysis'!S16,'Attendance analysis'!T16,'Attendance analysis'!U16)</f>
        <v>1773.8214285714275</v>
      </c>
      <c r="E24" s="43">
        <f>CHOOSE(Rate,'Attendee giving analysis'!N16,'Attendee giving analysis'!O16,'Attendee giving analysis'!P16,'Attendee giving analysis'!Q16,'Attendee giving analysis'!R16,'Attendee giving analysis'!S16,'Attendee giving analysis'!T16)</f>
        <v>37.403052891008883</v>
      </c>
      <c r="G24" s="3">
        <f t="shared" si="0"/>
        <v>66346.336712062039</v>
      </c>
    </row>
    <row r="25" spans="1:7">
      <c r="B25" s="1">
        <v>9</v>
      </c>
      <c r="C25" s="44">
        <f>CHOOSE(Attend,'Attendance analysis'!O17,'Attendance analysis'!P17,'Attendance analysis'!Q17,'Attendance analysis'!R17,'Attendance analysis'!S17,'Attendance analysis'!T17,'Attendance analysis'!U17)</f>
        <v>1837.3571428571449</v>
      </c>
      <c r="E25" s="43">
        <f>CHOOSE(Rate,'Attendee giving analysis'!N17,'Attendee giving analysis'!O17,'Attendee giving analysis'!P17,'Attendee giving analysis'!Q17,'Attendee giving analysis'!R17,'Attendee giving analysis'!S17,'Attendee giving analysis'!T17)</f>
        <v>43.665607880934658</v>
      </c>
      <c r="G25" s="3">
        <f t="shared" si="0"/>
        <v>80229.316537234539</v>
      </c>
    </row>
    <row r="26" spans="1:7">
      <c r="B26" s="1">
        <v>10</v>
      </c>
      <c r="C26" s="44">
        <f>CHOOSE(Attend,'Attendance analysis'!O18,'Attendance analysis'!P18,'Attendance analysis'!Q18,'Attendance analysis'!R18,'Attendance analysis'!S18,'Attendance analysis'!T18,'Attendance analysis'!U18)</f>
        <v>1895.5357142857174</v>
      </c>
      <c r="E26" s="43">
        <f>CHOOSE(Rate,'Attendee giving analysis'!N18,'Attendee giving analysis'!O18,'Attendee giving analysis'!P18,'Attendee giving analysis'!Q18,'Attendee giving analysis'!R18,'Attendee giving analysis'!S18,'Attendee giving analysis'!T18)</f>
        <v>46.294581149611076</v>
      </c>
      <c r="G26" s="3">
        <f t="shared" si="0"/>
        <v>87753.031946986142</v>
      </c>
    </row>
    <row r="27" spans="1:7">
      <c r="B27" s="1">
        <v>11</v>
      </c>
      <c r="C27" s="44">
        <f>CHOOSE(Attend,'Attendance analysis'!O19,'Attendance analysis'!P19,'Attendance analysis'!Q19,'Attendance analysis'!R19,'Attendance analysis'!S19,'Attendance analysis'!T19,'Attendance analysis'!U19)</f>
        <v>1872.1071428571449</v>
      </c>
      <c r="E27" s="43">
        <f>CHOOSE(Rate,'Attendee giving analysis'!N19,'Attendee giving analysis'!O19,'Attendee giving analysis'!P19,'Attendee giving analysis'!Q19,'Attendee giving analysis'!R19,'Attendee giving analysis'!S19,'Attendee giving analysis'!T19)</f>
        <v>36.69879967407087</v>
      </c>
      <c r="G27" s="3">
        <f t="shared" si="0"/>
        <v>68704.085004111534</v>
      </c>
    </row>
    <row r="28" spans="1:7">
      <c r="B28" s="1">
        <v>12</v>
      </c>
      <c r="C28" s="44">
        <f>CHOOSE(Attend,'Attendance analysis'!O20,'Attendance analysis'!P20,'Attendance analysis'!Q20,'Attendance analysis'!R20,'Attendance analysis'!S20,'Attendance analysis'!T20,'Attendance analysis'!U20)</f>
        <v>1914.75</v>
      </c>
      <c r="E28" s="43">
        <f>CHOOSE(Rate,'Attendee giving analysis'!N20,'Attendee giving analysis'!O20,'Attendee giving analysis'!P20,'Attendee giving analysis'!Q20,'Attendee giving analysis'!R20,'Attendee giving analysis'!S20,'Attendee giving analysis'!T20)</f>
        <v>33.769748064201849</v>
      </c>
      <c r="G28" s="3">
        <f t="shared" si="0"/>
        <v>64660.625105930492</v>
      </c>
    </row>
    <row r="29" spans="1:7">
      <c r="B29" s="1">
        <v>13</v>
      </c>
      <c r="C29" s="44">
        <f>CHOOSE(Attend,'Attendance analysis'!O21,'Attendance analysis'!P21,'Attendance analysis'!Q21,'Attendance analysis'!R21,'Attendance analysis'!S21,'Attendance analysis'!T21,'Attendance analysis'!U21)</f>
        <v>2095</v>
      </c>
      <c r="E29" s="43">
        <f>CHOOSE(Rate,'Attendee giving analysis'!N21,'Attendee giving analysis'!O21,'Attendee giving analysis'!P21,'Attendee giving analysis'!Q21,'Attendee giving analysis'!R21,'Attendee giving analysis'!S21,'Attendee giving analysis'!T21)</f>
        <v>25.682500677822873</v>
      </c>
      <c r="G29" s="3">
        <f t="shared" si="0"/>
        <v>53804.838920038921</v>
      </c>
    </row>
    <row r="30" spans="1:7">
      <c r="B30" s="1">
        <v>14</v>
      </c>
      <c r="C30" s="44">
        <f>CHOOSE(Attend,'Attendance analysis'!O22,'Attendance analysis'!P22,'Attendance analysis'!Q22,'Attendance analysis'!R22,'Attendance analysis'!S22,'Attendance analysis'!T22,'Attendance analysis'!U22)</f>
        <v>1886.2857142857174</v>
      </c>
      <c r="E30" s="43">
        <f>CHOOSE(Rate,'Attendee giving analysis'!N22,'Attendee giving analysis'!O22,'Attendee giving analysis'!P22,'Attendee giving analysis'!Q22,'Attendee giving analysis'!R22,'Attendee giving analysis'!S22,'Attendee giving analysis'!T22)</f>
        <v>42.938476063098278</v>
      </c>
      <c r="G30" s="3">
        <f t="shared" si="0"/>
        <v>80994.233991021509</v>
      </c>
    </row>
    <row r="31" spans="1:7">
      <c r="B31" s="1">
        <v>15</v>
      </c>
      <c r="C31" s="44">
        <f>CHOOSE(Attend,'Attendance analysis'!O23,'Attendance analysis'!P23,'Attendance analysis'!Q23,'Attendance analysis'!R23,'Attendance analysis'!S23,'Attendance analysis'!T23,'Attendance analysis'!U23)</f>
        <v>2111.75</v>
      </c>
      <c r="E31" s="43">
        <f>CHOOSE(Rate,'Attendee giving analysis'!N23,'Attendee giving analysis'!O23,'Attendee giving analysis'!P23,'Attendee giving analysis'!Q23,'Attendee giving analysis'!R23,'Attendee giving analysis'!S23,'Attendee giving analysis'!T23)</f>
        <v>38.687686731529539</v>
      </c>
      <c r="G31" s="3">
        <f t="shared" si="0"/>
        <v>81698.722455307507</v>
      </c>
    </row>
    <row r="32" spans="1:7">
      <c r="B32" s="1">
        <v>16</v>
      </c>
      <c r="C32" s="44">
        <f>CHOOSE(Attend,'Attendance analysis'!O24,'Attendance analysis'!P24,'Attendance analysis'!Q24,'Attendance analysis'!R24,'Attendance analysis'!S24,'Attendance analysis'!T24,'Attendance analysis'!U24)</f>
        <v>1754.3214285714284</v>
      </c>
      <c r="E32" s="43">
        <f>CHOOSE(Rate,'Attendee giving analysis'!N24,'Attendee giving analysis'!O24,'Attendee giving analysis'!P24,'Attendee giving analysis'!Q24,'Attendee giving analysis'!R24,'Attendee giving analysis'!S24,'Attendee giving analysis'!T24)</f>
        <v>40.087115068691674</v>
      </c>
      <c r="G32" s="3">
        <f t="shared" si="0"/>
        <v>70325.684974614414</v>
      </c>
    </row>
    <row r="33" spans="2:7">
      <c r="B33" s="1">
        <v>17</v>
      </c>
      <c r="C33" s="44">
        <f>CHOOSE(Attend,'Attendance analysis'!O25,'Attendance analysis'!P25,'Attendance analysis'!Q25,'Attendance analysis'!R25,'Attendance analysis'!S25,'Attendance analysis'!T25,'Attendance analysis'!U25)</f>
        <v>2213.8214285714203</v>
      </c>
      <c r="E33" s="43">
        <f>CHOOSE(Rate,'Attendee giving analysis'!N25,'Attendee giving analysis'!O25,'Attendee giving analysis'!P25,'Attendee giving analysis'!Q25,'Attendee giving analysis'!R25,'Attendee giving analysis'!S25,'Attendee giving analysis'!T25)</f>
        <v>25.799926468832609</v>
      </c>
      <c r="G33" s="3">
        <f t="shared" si="0"/>
        <v>57116.430072268602</v>
      </c>
    </row>
    <row r="34" spans="2:7">
      <c r="B34" s="1">
        <v>18</v>
      </c>
      <c r="C34" s="44">
        <f>CHOOSE(Attend,'Attendance analysis'!O26,'Attendance analysis'!P26,'Attendance analysis'!Q26,'Attendance analysis'!R26,'Attendance analysis'!S26,'Attendance analysis'!T26,'Attendance analysis'!U26)</f>
        <v>1803.75</v>
      </c>
      <c r="E34" s="43">
        <f>CHOOSE(Rate,'Attendee giving analysis'!N26,'Attendee giving analysis'!O26,'Attendee giving analysis'!P26,'Attendee giving analysis'!Q26,'Attendee giving analysis'!R26,'Attendee giving analysis'!S26,'Attendee giving analysis'!T26)</f>
        <v>45.325889273618486</v>
      </c>
      <c r="G34" s="3">
        <f t="shared" si="0"/>
        <v>81756.572777289344</v>
      </c>
    </row>
    <row r="35" spans="2:7">
      <c r="B35" s="1">
        <v>19</v>
      </c>
      <c r="C35" s="44">
        <f>CHOOSE(Attend,'Attendance analysis'!O27,'Attendance analysis'!P27,'Attendance analysis'!Q27,'Attendance analysis'!R27,'Attendance analysis'!S27,'Attendance analysis'!T27,'Attendance analysis'!U27)</f>
        <v>1723.9642857142826</v>
      </c>
      <c r="E35" s="43">
        <f>CHOOSE(Rate,'Attendee giving analysis'!N27,'Attendee giving analysis'!O27,'Attendee giving analysis'!P27,'Attendee giving analysis'!Q27,'Attendee giving analysis'!R27,'Attendee giving analysis'!S27,'Attendee giving analysis'!T27)</f>
        <v>38.110927821253426</v>
      </c>
      <c r="G35" s="3">
        <f t="shared" si="0"/>
        <v>65701.878459275744</v>
      </c>
    </row>
    <row r="36" spans="2:7">
      <c r="B36" s="1">
        <v>20</v>
      </c>
      <c r="C36" s="44">
        <f>CHOOSE(Attend,'Attendance analysis'!O28,'Attendance analysis'!P28,'Attendance analysis'!Q28,'Attendance analysis'!R28,'Attendance analysis'!S28,'Attendance analysis'!T28,'Attendance analysis'!U28)</f>
        <v>1912.5</v>
      </c>
      <c r="E36" s="43">
        <f>CHOOSE(Rate,'Attendee giving analysis'!N28,'Attendee giving analysis'!O28,'Attendee giving analysis'!P28,'Attendee giving analysis'!Q28,'Attendee giving analysis'!R28,'Attendee giving analysis'!S28,'Attendee giving analysis'!T28)</f>
        <v>38.601904273692526</v>
      </c>
      <c r="G36" s="3">
        <f t="shared" si="0"/>
        <v>73826.141923436953</v>
      </c>
    </row>
    <row r="37" spans="2:7">
      <c r="B37" s="1">
        <v>21</v>
      </c>
      <c r="C37" s="44">
        <f>CHOOSE(Attend,'Attendance analysis'!O29,'Attendance analysis'!P29,'Attendance analysis'!Q29,'Attendance analysis'!R29,'Attendance analysis'!S29,'Attendance analysis'!T29,'Attendance analysis'!U29)</f>
        <v>1749.5</v>
      </c>
      <c r="E37" s="43">
        <f>CHOOSE(Rate,'Attendee giving analysis'!N29,'Attendee giving analysis'!O29,'Attendee giving analysis'!P29,'Attendee giving analysis'!Q29,'Attendee giving analysis'!R29,'Attendee giving analysis'!S29,'Attendee giving analysis'!T29)</f>
        <v>39.395032993205859</v>
      </c>
      <c r="G37" s="3">
        <f t="shared" si="0"/>
        <v>68921.61022161365</v>
      </c>
    </row>
    <row r="38" spans="2:7">
      <c r="B38" s="1">
        <v>22</v>
      </c>
      <c r="C38" s="44">
        <f>CHOOSE(Attend,'Attendance analysis'!O30,'Attendance analysis'!P30,'Attendance analysis'!Q30,'Attendance analysis'!R30,'Attendance analysis'!S30,'Attendance analysis'!T30,'Attendance analysis'!U30)</f>
        <v>1663</v>
      </c>
      <c r="E38" s="43">
        <f>CHOOSE(Rate,'Attendee giving analysis'!N30,'Attendee giving analysis'!O30,'Attendee giving analysis'!P30,'Attendee giving analysis'!Q30,'Attendee giving analysis'!R30,'Attendee giving analysis'!S30,'Attendee giving analysis'!T30)</f>
        <v>33.139867526047965</v>
      </c>
      <c r="G38" s="3">
        <f t="shared" si="0"/>
        <v>55111.599695817764</v>
      </c>
    </row>
    <row r="39" spans="2:7">
      <c r="B39" s="1">
        <v>23</v>
      </c>
      <c r="C39" s="44">
        <f>CHOOSE(Attend,'Attendance analysis'!O31,'Attendance analysis'!P31,'Attendance analysis'!Q31,'Attendance analysis'!R31,'Attendance analysis'!S31,'Attendance analysis'!T31,'Attendance analysis'!U31)</f>
        <v>1532.2857142857174</v>
      </c>
      <c r="E39" s="43">
        <f>CHOOSE(Rate,'Attendee giving analysis'!N31,'Attendee giving analysis'!O31,'Attendee giving analysis'!P31,'Attendee giving analysis'!Q31,'Attendee giving analysis'!R31,'Attendee giving analysis'!S31,'Attendee giving analysis'!T31)</f>
        <v>66.220759150270169</v>
      </c>
      <c r="G39" s="3">
        <f t="shared" si="0"/>
        <v>101469.12323511418</v>
      </c>
    </row>
    <row r="40" spans="2:7">
      <c r="B40" s="1">
        <v>24</v>
      </c>
      <c r="C40" s="44">
        <f>CHOOSE(Attend,'Attendance analysis'!O32,'Attendance analysis'!P32,'Attendance analysis'!Q32,'Attendance analysis'!R32,'Attendance analysis'!S32,'Attendance analysis'!T32,'Attendance analysis'!U32)</f>
        <v>1394.2857142857138</v>
      </c>
      <c r="E40" s="43">
        <f>CHOOSE(Rate,'Attendee giving analysis'!N32,'Attendee giving analysis'!O32,'Attendee giving analysis'!P32,'Attendee giving analysis'!Q32,'Attendee giving analysis'!R32,'Attendee giving analysis'!S32,'Attendee giving analysis'!T32)</f>
        <v>40.850704359155316</v>
      </c>
      <c r="G40" s="3">
        <f t="shared" si="0"/>
        <v>56957.553506479388</v>
      </c>
    </row>
    <row r="41" spans="2:7">
      <c r="B41" s="1">
        <v>25</v>
      </c>
      <c r="C41" s="44">
        <f>CHOOSE(Attend,'Attendance analysis'!O33,'Attendance analysis'!P33,'Attendance analysis'!Q33,'Attendance analysis'!R33,'Attendance analysis'!S33,'Attendance analysis'!T33,'Attendance analysis'!U33)</f>
        <v>1309.1428571428571</v>
      </c>
      <c r="E41" s="43">
        <f>CHOOSE(Rate,'Attendee giving analysis'!N33,'Attendee giving analysis'!O33,'Attendee giving analysis'!P33,'Attendee giving analysis'!Q33,'Attendee giving analysis'!R33,'Attendee giving analysis'!S33,'Attendee giving analysis'!T33)</f>
        <v>39.898355727073977</v>
      </c>
      <c r="G41" s="3">
        <f t="shared" si="0"/>
        <v>52232.647411843704</v>
      </c>
    </row>
    <row r="42" spans="2:7">
      <c r="B42" s="1">
        <v>26</v>
      </c>
      <c r="C42" s="44">
        <f>CHOOSE(Attend,'Attendance analysis'!O34,'Attendance analysis'!P34,'Attendance analysis'!Q34,'Attendance analysis'!R34,'Attendance analysis'!S34,'Attendance analysis'!T34,'Attendance analysis'!U34)</f>
        <v>1356.2857142857156</v>
      </c>
      <c r="E42" s="43">
        <f>CHOOSE(Rate,'Attendee giving analysis'!N34,'Attendee giving analysis'!O34,'Attendee giving analysis'!P34,'Attendee giving analysis'!Q34,'Attendee giving analysis'!R34,'Attendee giving analysis'!S34,'Attendee giving analysis'!T34)</f>
        <v>51.786011843672895</v>
      </c>
      <c r="G42" s="3">
        <f t="shared" si="0"/>
        <v>70236.628063404423</v>
      </c>
    </row>
    <row r="43" spans="2:7">
      <c r="B43" s="1">
        <v>27</v>
      </c>
      <c r="C43" s="44">
        <f>CHOOSE(Attend,'Attendance analysis'!O35,'Attendance analysis'!P35,'Attendance analysis'!Q35,'Attendance analysis'!R35,'Attendance analysis'!S35,'Attendance analysis'!T35,'Attendance analysis'!U35)</f>
        <v>1408</v>
      </c>
      <c r="E43" s="43">
        <f>CHOOSE(Rate,'Attendee giving analysis'!N35,'Attendee giving analysis'!O35,'Attendee giving analysis'!P35,'Attendee giving analysis'!Q35,'Attendee giving analysis'!R35,'Attendee giving analysis'!S35,'Attendee giving analysis'!T35)</f>
        <v>44.778835393291047</v>
      </c>
      <c r="G43" s="3">
        <f t="shared" si="0"/>
        <v>63048.600233753794</v>
      </c>
    </row>
    <row r="44" spans="2:7">
      <c r="B44" s="1">
        <v>28</v>
      </c>
      <c r="C44" s="44">
        <f>CHOOSE(Attend,'Attendance analysis'!O36,'Attendance analysis'!P36,'Attendance analysis'!Q36,'Attendance analysis'!R36,'Attendance analysis'!S36,'Attendance analysis'!T36,'Attendance analysis'!U36)</f>
        <v>1426.5714285714275</v>
      </c>
      <c r="E44" s="43">
        <f>CHOOSE(Rate,'Attendee giving analysis'!N36,'Attendee giving analysis'!O36,'Attendee giving analysis'!P36,'Attendee giving analysis'!Q36,'Attendee giving analysis'!R36,'Attendee giving analysis'!S36,'Attendee giving analysis'!T36)</f>
        <v>33.629842578044304</v>
      </c>
      <c r="G44" s="3">
        <f t="shared" si="0"/>
        <v>47975.372569192885</v>
      </c>
    </row>
    <row r="45" spans="2:7">
      <c r="B45" s="1">
        <v>29</v>
      </c>
      <c r="C45" s="44">
        <f>CHOOSE(Attend,'Attendance analysis'!O37,'Attendance analysis'!P37,'Attendance analysis'!Q37,'Attendance analysis'!R37,'Attendance analysis'!S37,'Attendance analysis'!T37,'Attendance analysis'!U37)</f>
        <v>1411.7142857142858</v>
      </c>
      <c r="E45" s="43">
        <f>CHOOSE(Rate,'Attendee giving analysis'!N37,'Attendee giving analysis'!O37,'Attendee giving analysis'!P37,'Attendee giving analysis'!Q37,'Attendee giving analysis'!R37,'Attendee giving analysis'!S37,'Attendee giving analysis'!T37)</f>
        <v>53.419451638894316</v>
      </c>
      <c r="G45" s="3">
        <f t="shared" si="0"/>
        <v>75413.003013650523</v>
      </c>
    </row>
    <row r="46" spans="2:7">
      <c r="B46" s="1">
        <v>30</v>
      </c>
      <c r="C46" s="44">
        <f>CHOOSE(Attend,'Attendance analysis'!O38,'Attendance analysis'!P38,'Attendance analysis'!Q38,'Attendance analysis'!R38,'Attendance analysis'!S38,'Attendance analysis'!T38,'Attendance analysis'!U38)</f>
        <v>1430.5714285714275</v>
      </c>
      <c r="E46" s="43">
        <f>CHOOSE(Rate,'Attendee giving analysis'!N38,'Attendee giving analysis'!O38,'Attendee giving analysis'!P38,'Attendee giving analysis'!Q38,'Attendee giving analysis'!R38,'Attendee giving analysis'!S38,'Attendee giving analysis'!T38)</f>
        <v>43.422906686587339</v>
      </c>
      <c r="G46" s="3">
        <f t="shared" si="0"/>
        <v>62119.569651355043</v>
      </c>
    </row>
    <row r="47" spans="2:7">
      <c r="B47" s="1">
        <v>31</v>
      </c>
      <c r="C47" s="44">
        <f>CHOOSE(Attend,'Attendance analysis'!O39,'Attendance analysis'!P39,'Attendance analysis'!Q39,'Attendance analysis'!R39,'Attendance analysis'!S39,'Attendance analysis'!T39,'Attendance analysis'!U39)</f>
        <v>1177.1428571428551</v>
      </c>
      <c r="E47" s="43">
        <f>CHOOSE(Rate,'Attendee giving analysis'!N39,'Attendee giving analysis'!O39,'Attendee giving analysis'!P39,'Attendee giving analysis'!Q39,'Attendee giving analysis'!R39,'Attendee giving analysis'!S39,'Attendee giving analysis'!T39)</f>
        <v>36.225682742865501</v>
      </c>
      <c r="G47" s="3">
        <f t="shared" si="0"/>
        <v>42642.803685887317</v>
      </c>
    </row>
    <row r="48" spans="2:7">
      <c r="B48" s="1">
        <v>32</v>
      </c>
      <c r="C48" s="44">
        <f>CHOOSE(Attend,'Attendance analysis'!O40,'Attendance analysis'!P40,'Attendance analysis'!Q40,'Attendance analysis'!R40,'Attendance analysis'!S40,'Attendance analysis'!T40,'Attendance analysis'!U40)</f>
        <v>1311.1428571428551</v>
      </c>
      <c r="E48" s="43">
        <f>CHOOSE(Rate,'Attendee giving analysis'!N40,'Attendee giving analysis'!O40,'Attendee giving analysis'!P40,'Attendee giving analysis'!Q40,'Attendee giving analysis'!R40,'Attendee giving analysis'!S40,'Attendee giving analysis'!T40)</f>
        <v>49.447694831954323</v>
      </c>
      <c r="G48" s="3">
        <f t="shared" si="0"/>
        <v>64832.991881096576</v>
      </c>
    </row>
    <row r="49" spans="2:7">
      <c r="B49" s="1">
        <v>33</v>
      </c>
      <c r="C49" s="44">
        <f>CHOOSE(Attend,'Attendance analysis'!O41,'Attendance analysis'!P41,'Attendance analysis'!Q41,'Attendance analysis'!R41,'Attendance analysis'!S41,'Attendance analysis'!T41,'Attendance analysis'!U41)</f>
        <v>1396.2857142857174</v>
      </c>
      <c r="E49" s="43">
        <f>CHOOSE(Rate,'Attendee giving analysis'!N41,'Attendee giving analysis'!O41,'Attendee giving analysis'!P41,'Attendee giving analysis'!Q41,'Attendee giving analysis'!R41,'Attendee giving analysis'!S41,'Attendee giving analysis'!T41)</f>
        <v>35.913012571342733</v>
      </c>
      <c r="G49" s="3">
        <f t="shared" si="0"/>
        <v>50144.826410329239</v>
      </c>
    </row>
    <row r="50" spans="2:7">
      <c r="B50" s="1">
        <v>34</v>
      </c>
      <c r="C50" s="44">
        <f>CHOOSE(Attend,'Attendance analysis'!O42,'Attendance analysis'!P42,'Attendance analysis'!Q42,'Attendance analysis'!R42,'Attendance analysis'!S42,'Attendance analysis'!T42,'Attendance analysis'!U42)</f>
        <v>1682.5714285714203</v>
      </c>
      <c r="E50" s="43">
        <f>CHOOSE(Rate,'Attendee giving analysis'!N42,'Attendee giving analysis'!O42,'Attendee giving analysis'!P42,'Attendee giving analysis'!Q42,'Attendee giving analysis'!R42,'Attendee giving analysis'!S42,'Attendee giving analysis'!T42)</f>
        <v>29.9633781881912</v>
      </c>
      <c r="G50" s="3">
        <f t="shared" si="0"/>
        <v>50415.5240429306</v>
      </c>
    </row>
    <row r="51" spans="2:7">
      <c r="B51" s="1">
        <v>35</v>
      </c>
      <c r="C51" s="44">
        <f>CHOOSE(Attend,'Attendance analysis'!O43,'Attendance analysis'!P43,'Attendance analysis'!Q43,'Attendance analysis'!R43,'Attendance analysis'!S43,'Attendance analysis'!T43,'Attendance analysis'!U43)</f>
        <v>2150.5714285714284</v>
      </c>
      <c r="E51" s="43">
        <f>CHOOSE(Rate,'Attendee giving analysis'!N43,'Attendee giving analysis'!O43,'Attendee giving analysis'!P43,'Attendee giving analysis'!Q43,'Attendee giving analysis'!R43,'Attendee giving analysis'!S43,'Attendee giving analysis'!T43)</f>
        <v>21.089150605873556</v>
      </c>
      <c r="G51" s="3">
        <f t="shared" si="0"/>
        <v>45353.724745831496</v>
      </c>
    </row>
    <row r="52" spans="2:7">
      <c r="B52" s="1">
        <v>36</v>
      </c>
      <c r="C52" s="44">
        <f>CHOOSE(Attend,'Attendance analysis'!O44,'Attendance analysis'!P44,'Attendance analysis'!Q44,'Attendance analysis'!R44,'Attendance analysis'!S44,'Attendance analysis'!T44,'Attendance analysis'!U44)</f>
        <v>2247.1428571428696</v>
      </c>
      <c r="E52" s="43">
        <f>CHOOSE(Rate,'Attendee giving analysis'!N44,'Attendee giving analysis'!O44,'Attendee giving analysis'!P44,'Attendee giving analysis'!Q44,'Attendee giving analysis'!R44,'Attendee giving analysis'!S44,'Attendee giving analysis'!T44)</f>
        <v>35.4028627945072</v>
      </c>
      <c r="G52" s="3">
        <f t="shared" si="0"/>
        <v>79555.290251085913</v>
      </c>
    </row>
    <row r="53" spans="2:7">
      <c r="B53" s="1">
        <v>37</v>
      </c>
      <c r="C53" s="44">
        <f>CHOOSE(Attend,'Attendance analysis'!O45,'Attendance analysis'!P45,'Attendance analysis'!Q45,'Attendance analysis'!R45,'Attendance analysis'!S45,'Attendance analysis'!T45,'Attendance analysis'!U45)</f>
        <v>2391.1428571428551</v>
      </c>
      <c r="E53" s="43">
        <f>CHOOSE(Rate,'Attendee giving analysis'!N45,'Attendee giving analysis'!O45,'Attendee giving analysis'!P45,'Attendee giving analysis'!Q45,'Attendee giving analysis'!R45,'Attendee giving analysis'!S45,'Attendee giving analysis'!T45)</f>
        <v>25.513199072365751</v>
      </c>
      <c r="G53" s="3">
        <f t="shared" si="0"/>
        <v>61005.703724751082</v>
      </c>
    </row>
    <row r="54" spans="2:7">
      <c r="B54" s="1">
        <v>38</v>
      </c>
      <c r="C54" s="44">
        <f>CHOOSE(Attend,'Attendance analysis'!O46,'Attendance analysis'!P46,'Attendance analysis'!Q46,'Attendance analysis'!R46,'Attendance analysis'!S46,'Attendance analysis'!T46,'Attendance analysis'!U46)</f>
        <v>2161.4285714285725</v>
      </c>
      <c r="E54" s="43">
        <f>CHOOSE(Rate,'Attendee giving analysis'!N46,'Attendee giving analysis'!O46,'Attendee giving analysis'!P46,'Attendee giving analysis'!Q46,'Attendee giving analysis'!R46,'Attendee giving analysis'!S46,'Attendee giving analysis'!T46)</f>
        <v>34.170237028145493</v>
      </c>
      <c r="G54" s="3">
        <f t="shared" si="0"/>
        <v>73856.52660512022</v>
      </c>
    </row>
    <row r="55" spans="2:7">
      <c r="B55" s="1">
        <v>39</v>
      </c>
      <c r="C55" s="44">
        <f>CHOOSE(Attend,'Attendance analysis'!O47,'Attendance analysis'!P47,'Attendance analysis'!Q47,'Attendance analysis'!R47,'Attendance analysis'!S47,'Attendance analysis'!T47,'Attendance analysis'!U47)</f>
        <v>2023.4285714285725</v>
      </c>
      <c r="E55" s="43">
        <f>CHOOSE(Rate,'Attendee giving analysis'!N47,'Attendee giving analysis'!O47,'Attendee giving analysis'!P47,'Attendee giving analysis'!Q47,'Attendee giving analysis'!R47,'Attendee giving analysis'!S47,'Attendee giving analysis'!T47)</f>
        <v>45.328798270831612</v>
      </c>
      <c r="G55" s="3">
        <f t="shared" si="0"/>
        <v>91719.585529722754</v>
      </c>
    </row>
    <row r="56" spans="2:7">
      <c r="B56" s="1">
        <v>40</v>
      </c>
      <c r="C56" s="44">
        <f>CHOOSE(Attend,'Attendance analysis'!O48,'Attendance analysis'!P48,'Attendance analysis'!Q48,'Attendance analysis'!R48,'Attendance analysis'!S48,'Attendance analysis'!T48,'Attendance analysis'!U48)</f>
        <v>1930</v>
      </c>
      <c r="E56" s="43">
        <f>CHOOSE(Rate,'Attendee giving analysis'!N48,'Attendee giving analysis'!O48,'Attendee giving analysis'!P48,'Attendee giving analysis'!Q48,'Attendee giving analysis'!R48,'Attendee giving analysis'!S48,'Attendee giving analysis'!T48)</f>
        <v>31.546253638496182</v>
      </c>
      <c r="G56" s="3">
        <f t="shared" si="0"/>
        <v>60884.269522297633</v>
      </c>
    </row>
    <row r="57" spans="2:7">
      <c r="B57" s="1">
        <v>41</v>
      </c>
      <c r="C57" s="44">
        <f>CHOOSE(Attend,'Attendance analysis'!O49,'Attendance analysis'!P49,'Attendance analysis'!Q49,'Attendance analysis'!R49,'Attendance analysis'!S49,'Attendance analysis'!T49,'Attendance analysis'!U49)</f>
        <v>2017.9047619047633</v>
      </c>
      <c r="E57" s="43">
        <f>CHOOSE(Rate,'Attendee giving analysis'!N49,'Attendee giving analysis'!O49,'Attendee giving analysis'!P49,'Attendee giving analysis'!Q49,'Attendee giving analysis'!R49,'Attendee giving analysis'!S49,'Attendee giving analysis'!T49)</f>
        <v>37.954523144006998</v>
      </c>
      <c r="G57" s="3">
        <f t="shared" si="0"/>
        <v>76588.612988116263</v>
      </c>
    </row>
    <row r="58" spans="2:7">
      <c r="B58" s="1">
        <v>42</v>
      </c>
      <c r="C58" s="44">
        <f>CHOOSE(Attend,'Attendance analysis'!O50,'Attendance analysis'!P50,'Attendance analysis'!Q50,'Attendance analysis'!R50,'Attendance analysis'!S50,'Attendance analysis'!T50,'Attendance analysis'!U50)</f>
        <v>2198.057142857142</v>
      </c>
      <c r="E58" s="43">
        <f>CHOOSE(Rate,'Attendee giving analysis'!N50,'Attendee giving analysis'!O50,'Attendee giving analysis'!P50,'Attendee giving analysis'!Q50,'Attendee giving analysis'!R50,'Attendee giving analysis'!S50,'Attendee giving analysis'!T50)</f>
        <v>34.536899796943544</v>
      </c>
      <c r="G58" s="3">
        <f t="shared" si="0"/>
        <v>75914.079290813141</v>
      </c>
    </row>
    <row r="59" spans="2:7">
      <c r="B59" s="1">
        <v>43</v>
      </c>
      <c r="C59" s="44">
        <f>CHOOSE(Attend,'Attendance analysis'!O51,'Attendance analysis'!P51,'Attendance analysis'!Q51,'Attendance analysis'!R51,'Attendance analysis'!S51,'Attendance analysis'!T51,'Attendance analysis'!U51)</f>
        <v>1757.6380952381005</v>
      </c>
      <c r="E59" s="43">
        <f>CHOOSE(Rate,'Attendee giving analysis'!N51,'Attendee giving analysis'!O51,'Attendee giving analysis'!P51,'Attendee giving analysis'!Q51,'Attendee giving analysis'!R51,'Attendee giving analysis'!S51,'Attendee giving analysis'!T51)</f>
        <v>31.495482490287941</v>
      </c>
      <c r="G59" s="3">
        <f t="shared" si="0"/>
        <v>55357.659852834644</v>
      </c>
    </row>
    <row r="60" spans="2:7">
      <c r="B60" s="1">
        <v>44</v>
      </c>
      <c r="C60" s="44">
        <f>CHOOSE(Attend,'Attendance analysis'!O52,'Attendance analysis'!P52,'Attendance analysis'!Q52,'Attendance analysis'!R52,'Attendance analysis'!S52,'Attendance analysis'!T52,'Attendance analysis'!U52)</f>
        <v>1820.6285714285768</v>
      </c>
      <c r="E60" s="43">
        <f>CHOOSE(Rate,'Attendee giving analysis'!N52,'Attendee giving analysis'!O52,'Attendee giving analysis'!P52,'Attendee giving analysis'!Q52,'Attendee giving analysis'!R52,'Attendee giving analysis'!S52,'Attendee giving analysis'!T52)</f>
        <v>29.429509605940439</v>
      </c>
      <c r="G60" s="3">
        <f t="shared" si="0"/>
        <v>53580.206031706919</v>
      </c>
    </row>
    <row r="61" spans="2:7">
      <c r="B61" s="1">
        <v>45</v>
      </c>
      <c r="C61" s="44">
        <f>CHOOSE(Attend,'Attendance analysis'!O53,'Attendance analysis'!P53,'Attendance analysis'!Q53,'Attendance analysis'!R53,'Attendance analysis'!S53,'Attendance analysis'!T53,'Attendance analysis'!U53)</f>
        <v>2340.6095238095149</v>
      </c>
      <c r="E61" s="43">
        <f>CHOOSE(Rate,'Attendee giving analysis'!N53,'Attendee giving analysis'!O53,'Attendee giving analysis'!P53,'Attendee giving analysis'!Q53,'Attendee giving analysis'!R53,'Attendee giving analysis'!S53,'Attendee giving analysis'!T53)</f>
        <v>45.566863915631984</v>
      </c>
      <c r="G61" s="3">
        <f t="shared" si="0"/>
        <v>106654.23565106034</v>
      </c>
    </row>
    <row r="62" spans="2:7">
      <c r="B62" s="1">
        <v>46</v>
      </c>
      <c r="C62" s="44">
        <f>CHOOSE(Attend,'Attendance analysis'!O54,'Attendance analysis'!P54,'Attendance analysis'!Q54,'Attendance analysis'!R54,'Attendance analysis'!S54,'Attendance analysis'!T54,'Attendance analysis'!U54)</f>
        <v>2154.6857142857189</v>
      </c>
      <c r="E62" s="43">
        <f>CHOOSE(Rate,'Attendee giving analysis'!N54,'Attendee giving analysis'!O54,'Attendee giving analysis'!P54,'Attendee giving analysis'!Q54,'Attendee giving analysis'!R54,'Attendee giving analysis'!S54,'Attendee giving analysis'!T54)</f>
        <v>24.814878865659239</v>
      </c>
      <c r="G62" s="3">
        <f t="shared" si="0"/>
        <v>53468.264993566569</v>
      </c>
    </row>
    <row r="63" spans="2:7">
      <c r="B63" s="1">
        <v>47</v>
      </c>
      <c r="C63" s="44">
        <f>CHOOSE(Attend,'Attendance analysis'!O55,'Attendance analysis'!P55,'Attendance analysis'!Q55,'Attendance analysis'!R55,'Attendance analysis'!S55,'Attendance analysis'!T55,'Attendance analysis'!U55)</f>
        <v>2273.4285714285797</v>
      </c>
      <c r="E63" s="43">
        <f>CHOOSE(Rate,'Attendee giving analysis'!N55,'Attendee giving analysis'!O55,'Attendee giving analysis'!P55,'Attendee giving analysis'!Q55,'Attendee giving analysis'!R55,'Attendee giving analysis'!S55,'Attendee giving analysis'!T55)</f>
        <v>36.819906812000227</v>
      </c>
      <c r="G63" s="3">
        <f t="shared" si="0"/>
        <v>83707.428143739104</v>
      </c>
    </row>
    <row r="64" spans="2:7">
      <c r="B64" s="1">
        <v>48</v>
      </c>
      <c r="C64" s="44">
        <f>CHOOSE(Attend,'Attendance analysis'!O56,'Attendance analysis'!P56,'Attendance analysis'!Q56,'Attendance analysis'!R56,'Attendance analysis'!S56,'Attendance analysis'!T56,'Attendance analysis'!U56)</f>
        <v>1713.2380952381063</v>
      </c>
      <c r="E64" s="43">
        <f>CHOOSE(Rate,'Attendee giving analysis'!N56,'Attendee giving analysis'!O56,'Attendee giving analysis'!P56,'Attendee giving analysis'!Q56,'Attendee giving analysis'!R56,'Attendee giving analysis'!S56,'Attendee giving analysis'!T56)</f>
        <v>35.107288207295824</v>
      </c>
      <c r="G64" s="3">
        <f t="shared" si="0"/>
        <v>60147.143577242728</v>
      </c>
    </row>
    <row r="65" spans="2:7">
      <c r="B65" s="1">
        <v>49</v>
      </c>
      <c r="C65" s="44">
        <f>CHOOSE(Attend,'Attendance analysis'!O57,'Attendance analysis'!P57,'Attendance analysis'!Q57,'Attendance analysis'!R57,'Attendance analysis'!S57,'Attendance analysis'!T57,'Attendance analysis'!U57)</f>
        <v>2485.8857142857159</v>
      </c>
      <c r="E65" s="43">
        <f>CHOOSE(Rate,'Attendee giving analysis'!N57,'Attendee giving analysis'!O57,'Attendee giving analysis'!P57,'Attendee giving analysis'!Q57,'Attendee giving analysis'!R57,'Attendee giving analysis'!S57,'Attendee giving analysis'!T57)</f>
        <v>31.553813188545973</v>
      </c>
      <c r="G65" s="3">
        <f t="shared" si="0"/>
        <v>78439.173436646655</v>
      </c>
    </row>
    <row r="66" spans="2:7">
      <c r="B66" s="1">
        <v>50</v>
      </c>
      <c r="C66" s="44">
        <f>CHOOSE(Attend,'Attendance analysis'!O58,'Attendance analysis'!P58,'Attendance analysis'!Q58,'Attendance analysis'!R58,'Attendance analysis'!S58,'Attendance analysis'!T58,'Attendance analysis'!U58)</f>
        <v>2370.3047619047575</v>
      </c>
      <c r="E66" s="43">
        <f>CHOOSE(Rate,'Attendee giving analysis'!N58,'Attendee giving analysis'!O58,'Attendee giving analysis'!P58,'Attendee giving analysis'!Q58,'Attendee giving analysis'!R58,'Attendee giving analysis'!S58,'Attendee giving analysis'!T58)</f>
        <v>32.96172567253052</v>
      </c>
      <c r="G66" s="3">
        <f t="shared" si="0"/>
        <v>78129.335322197381</v>
      </c>
    </row>
    <row r="67" spans="2:7">
      <c r="B67" s="1">
        <v>51</v>
      </c>
      <c r="C67" s="44">
        <f>CHOOSE(Attend,'Attendance analysis'!O59,'Attendance analysis'!P59,'Attendance analysis'!Q59,'Attendance analysis'!R59,'Attendance analysis'!S59,'Attendance analysis'!T59,'Attendance analysis'!U59)</f>
        <v>1834.1523809523787</v>
      </c>
      <c r="E67" s="43">
        <f>CHOOSE(Rate,'Attendee giving analysis'!N59,'Attendee giving analysis'!O59,'Attendee giving analysis'!P59,'Attendee giving analysis'!Q59,'Attendee giving analysis'!R59,'Attendee giving analysis'!S59,'Attendee giving analysis'!T59)</f>
        <v>79.246854597842685</v>
      </c>
      <c r="G67" s="3">
        <f t="shared" si="0"/>
        <v>145350.80704362012</v>
      </c>
    </row>
    <row r="68" spans="2:7">
      <c r="B68" s="1">
        <v>52</v>
      </c>
      <c r="C68" s="44">
        <f>CHOOSE(Attend,'Attendance analysis'!O60,'Attendance analysis'!P60,'Attendance analysis'!Q60,'Attendance analysis'!R60,'Attendance analysis'!S60,'Attendance analysis'!T60,'Attendance analysis'!U60)</f>
        <v>1382.5714285714348</v>
      </c>
      <c r="E68" s="43">
        <f>CHOOSE(Rate,'Attendee giving analysis'!N60,'Attendee giving analysis'!O60,'Attendee giving analysis'!P60,'Attendee giving analysis'!Q60,'Attendee giving analysis'!R60,'Attendee giving analysis'!S60,'Attendee giving analysis'!T60)</f>
        <v>22.277167581778485</v>
      </c>
      <c r="G68" s="3">
        <f t="shared" si="0"/>
        <v>30799.775408064736</v>
      </c>
    </row>
    <row r="70" spans="2:7">
      <c r="B70" s="1" t="s">
        <v>3</v>
      </c>
      <c r="C70" s="35">
        <f>AVERAGE(C17:C68)</f>
        <v>1818.9663003663011</v>
      </c>
      <c r="E70" s="1" t="s">
        <v>5</v>
      </c>
      <c r="G70" s="28">
        <f>SUM(G17:G68)</f>
        <v>3574830.3571586926</v>
      </c>
    </row>
    <row r="82" spans="1:7">
      <c r="B82" s="111" t="s">
        <v>312</v>
      </c>
      <c r="C82" s="111"/>
      <c r="D82" s="111"/>
      <c r="E82" s="111"/>
      <c r="F82" s="111"/>
      <c r="G82" s="111"/>
    </row>
    <row r="83" spans="1:7">
      <c r="E83" s="19" t="s">
        <v>7</v>
      </c>
    </row>
    <row r="84" spans="1:7">
      <c r="C84" s="19"/>
      <c r="E84" s="19" t="s">
        <v>279</v>
      </c>
      <c r="G84" s="19" t="s">
        <v>281</v>
      </c>
    </row>
    <row r="85" spans="1:7">
      <c r="B85" s="22" t="s">
        <v>0</v>
      </c>
      <c r="C85" s="22" t="s">
        <v>62</v>
      </c>
      <c r="E85" s="22" t="s">
        <v>280</v>
      </c>
      <c r="G85" s="22" t="s">
        <v>282</v>
      </c>
    </row>
    <row r="86" spans="1:7">
      <c r="B86" s="1">
        <v>1</v>
      </c>
      <c r="C86" s="44">
        <f>CHOOSE(Attend,'Attendance analysis'!O9,'Attendance analysis'!P9,'Attendance analysis'!Q9,'Attendance analysis'!R9,'Attendance analysis'!S9,'Attendance analysis'!T9,'Attendance analysis'!U9)</f>
        <v>1345.7857142857174</v>
      </c>
      <c r="E86" s="43">
        <f>CHOOSE(Rate,'Attendee giving analysis'!N68,'Attendee giving analysis'!O68,'Attendee giving analysis'!P68,'Attendee giving analysis'!Q68,'Attendee giving analysis'!R68,'Attendee giving analysis'!S68,'Attendee giving analysis'!T68)</f>
        <v>51.756314503069007</v>
      </c>
      <c r="G86" s="3">
        <f>C86*E86</f>
        <v>69652.90868230896</v>
      </c>
    </row>
    <row r="87" spans="1:7">
      <c r="B87" s="1">
        <v>2</v>
      </c>
      <c r="C87" s="44">
        <f>CHOOSE(Attend,'Attendance analysis'!O10,'Attendance analysis'!P10,'Attendance analysis'!Q10,'Attendance analysis'!R10,'Attendance analysis'!S10,'Attendance analysis'!T10,'Attendance analysis'!U10)</f>
        <v>1693.1785714285797</v>
      </c>
      <c r="E87" s="43">
        <f>CHOOSE(Rate,'Attendee giving analysis'!N69,'Attendee giving analysis'!O69,'Attendee giving analysis'!P69,'Attendee giving analysis'!Q69,'Attendee giving analysis'!R69,'Attendee giving analysis'!S69,'Attendee giving analysis'!T69)</f>
        <v>37.258286681331811</v>
      </c>
      <c r="G87" s="3">
        <f t="shared" ref="G87:G107" si="1">C87*E87</f>
        <v>63084.932616973878</v>
      </c>
    </row>
    <row r="88" spans="1:7">
      <c r="A88" s="17"/>
      <c r="B88" s="1">
        <v>3</v>
      </c>
      <c r="C88" s="44">
        <f>CHOOSE(Attend,'Attendance analysis'!O11,'Attendance analysis'!P11,'Attendance analysis'!Q11,'Attendance analysis'!R11,'Attendance analysis'!S11,'Attendance analysis'!T11,'Attendance analysis'!U11)</f>
        <v>1585.9642857142899</v>
      </c>
      <c r="E88" s="43">
        <f>CHOOSE(Rate,'Attendee giving analysis'!N70,'Attendee giving analysis'!O70,'Attendee giving analysis'!P70,'Attendee giving analysis'!Q70,'Attendee giving analysis'!R70,'Attendee giving analysis'!S70,'Attendee giving analysis'!T70)</f>
        <v>39.534190476788353</v>
      </c>
      <c r="G88" s="3">
        <f t="shared" si="1"/>
        <v>62699.814160812319</v>
      </c>
    </row>
    <row r="89" spans="1:7">
      <c r="B89" s="1">
        <v>4</v>
      </c>
      <c r="C89" s="44">
        <f>CHOOSE(Attend,'Attendance analysis'!O12,'Attendance analysis'!P12,'Attendance analysis'!Q12,'Attendance analysis'!R12,'Attendance analysis'!S12,'Attendance analysis'!T12,'Attendance analysis'!U12)</f>
        <v>1765.0357142857174</v>
      </c>
      <c r="E89" s="43">
        <f>CHOOSE(Rate,'Attendee giving analysis'!N71,'Attendee giving analysis'!O71,'Attendee giving analysis'!P71,'Attendee giving analysis'!Q71,'Attendee giving analysis'!R71,'Attendee giving analysis'!S71,'Attendee giving analysis'!T71)</f>
        <v>38.896160076908018</v>
      </c>
      <c r="G89" s="3">
        <f t="shared" si="1"/>
        <v>68653.111684316944</v>
      </c>
    </row>
    <row r="90" spans="1:7">
      <c r="B90" s="1">
        <v>5</v>
      </c>
      <c r="C90" s="44">
        <f>CHOOSE(Attend,'Attendance analysis'!O13,'Attendance analysis'!P13,'Attendance analysis'!Q13,'Attendance analysis'!R13,'Attendance analysis'!S13,'Attendance analysis'!T13,'Attendance analysis'!U13)</f>
        <v>1834.6071428571422</v>
      </c>
      <c r="E90" s="43">
        <f>CHOOSE(Rate,'Attendee giving analysis'!N72,'Attendee giving analysis'!O72,'Attendee giving analysis'!P72,'Attendee giving analysis'!Q72,'Attendee giving analysis'!R72,'Attendee giving analysis'!S72,'Attendee giving analysis'!T72)</f>
        <v>26.516651757125601</v>
      </c>
      <c r="G90" s="3">
        <f t="shared" si="1"/>
        <v>48647.638718278016</v>
      </c>
    </row>
    <row r="91" spans="1:7">
      <c r="B91" s="1">
        <v>6</v>
      </c>
      <c r="C91" s="44">
        <f>CHOOSE(Attend,'Attendance analysis'!O14,'Attendance analysis'!P14,'Attendance analysis'!Q14,'Attendance analysis'!R14,'Attendance analysis'!S14,'Attendance analysis'!T14,'Attendance analysis'!U14)</f>
        <v>2073.6785714285652</v>
      </c>
      <c r="E91" s="43">
        <f>CHOOSE(Rate,'Attendee giving analysis'!N73,'Attendee giving analysis'!O73,'Attendee giving analysis'!P73,'Attendee giving analysis'!Q73,'Attendee giving analysis'!R73,'Attendee giving analysis'!S73,'Attendee giving analysis'!T73)</f>
        <v>38.730871097945055</v>
      </c>
      <c r="G91" s="3">
        <f t="shared" si="1"/>
        <v>80315.377448570609</v>
      </c>
    </row>
    <row r="92" spans="1:7">
      <c r="B92" s="1">
        <v>7</v>
      </c>
      <c r="C92" s="44">
        <f>CHOOSE(Attend,'Attendance analysis'!O15,'Attendance analysis'!P15,'Attendance analysis'!Q15,'Attendance analysis'!R15,'Attendance analysis'!S15,'Attendance analysis'!T15,'Attendance analysis'!U15)</f>
        <v>1991.7142857142899</v>
      </c>
      <c r="E92" s="43">
        <f>CHOOSE(Rate,'Attendee giving analysis'!N74,'Attendee giving analysis'!O74,'Attendee giving analysis'!P74,'Attendee giving analysis'!Q74,'Attendee giving analysis'!R74,'Attendee giving analysis'!S74,'Attendee giving analysis'!T74)</f>
        <v>33.216783646975273</v>
      </c>
      <c r="G92" s="3">
        <f t="shared" si="1"/>
        <v>66158.342515161465</v>
      </c>
    </row>
    <row r="93" spans="1:7">
      <c r="B93" s="1">
        <v>8</v>
      </c>
      <c r="C93" s="44">
        <f>CHOOSE(Attend,'Attendance analysis'!O16,'Attendance analysis'!P16,'Attendance analysis'!Q16,'Attendance analysis'!R16,'Attendance analysis'!S16,'Attendance analysis'!T16,'Attendance analysis'!U16)</f>
        <v>1773.8214285714275</v>
      </c>
      <c r="E93" s="43">
        <f>CHOOSE(Rate,'Attendee giving analysis'!N75,'Attendee giving analysis'!O75,'Attendee giving analysis'!P75,'Attendee giving analysis'!Q75,'Attendee giving analysis'!R75,'Attendee giving analysis'!S75,'Attendee giving analysis'!T75)</f>
        <v>36.550268762317501</v>
      </c>
      <c r="G93" s="3">
        <f t="shared" si="1"/>
        <v>64833.649950643652</v>
      </c>
    </row>
    <row r="94" spans="1:7">
      <c r="B94" s="1">
        <v>9</v>
      </c>
      <c r="C94" s="44">
        <f>CHOOSE(Attend,'Attendance analysis'!O17,'Attendance analysis'!P17,'Attendance analysis'!Q17,'Attendance analysis'!R17,'Attendance analysis'!S17,'Attendance analysis'!T17,'Attendance analysis'!U17)</f>
        <v>1837.3571428571449</v>
      </c>
      <c r="E94" s="43">
        <f>CHOOSE(Rate,'Attendee giving analysis'!N76,'Attendee giving analysis'!O76,'Attendee giving analysis'!P76,'Attendee giving analysis'!Q76,'Attendee giving analysis'!R76,'Attendee giving analysis'!S76,'Attendee giving analysis'!T76)</f>
        <v>42.233983178195558</v>
      </c>
      <c r="G94" s="3">
        <f t="shared" si="1"/>
        <v>77598.910663766117</v>
      </c>
    </row>
    <row r="95" spans="1:7">
      <c r="B95" s="1">
        <v>10</v>
      </c>
      <c r="C95" s="44">
        <f>CHOOSE(Attend,'Attendance analysis'!O18,'Attendance analysis'!P18,'Attendance analysis'!Q18,'Attendance analysis'!R18,'Attendance analysis'!S18,'Attendance analysis'!T18,'Attendance analysis'!U18)</f>
        <v>1895.5357142857174</v>
      </c>
      <c r="E95" s="43">
        <f>CHOOSE(Rate,'Attendee giving analysis'!N77,'Attendee giving analysis'!O77,'Attendee giving analysis'!P77,'Attendee giving analysis'!Q77,'Attendee giving analysis'!R77,'Attendee giving analysis'!S77,'Attendee giving analysis'!T77)</f>
        <v>45.059618378983032</v>
      </c>
      <c r="G95" s="3">
        <f t="shared" si="1"/>
        <v>85412.115909447442</v>
      </c>
    </row>
    <row r="96" spans="1:7">
      <c r="B96" s="1">
        <v>11</v>
      </c>
      <c r="C96" s="44">
        <f>CHOOSE(Attend,'Attendance analysis'!O19,'Attendance analysis'!P19,'Attendance analysis'!Q19,'Attendance analysis'!R19,'Attendance analysis'!S19,'Attendance analysis'!T19,'Attendance analysis'!U19)</f>
        <v>1872.1071428571449</v>
      </c>
      <c r="E96" s="43">
        <f>CHOOSE(Rate,'Attendee giving analysis'!N78,'Attendee giving analysis'!O78,'Attendee giving analysis'!P78,'Attendee giving analysis'!Q78,'Attendee giving analysis'!R78,'Attendee giving analysis'!S78,'Attendee giving analysis'!T78)</f>
        <v>33.830988439140128</v>
      </c>
      <c r="G96" s="3">
        <f t="shared" si="1"/>
        <v>63335.235106831729</v>
      </c>
    </row>
    <row r="97" spans="2:7">
      <c r="B97" s="1">
        <v>12</v>
      </c>
      <c r="C97" s="44">
        <f>CHOOSE(Attend,'Attendance analysis'!O20,'Attendance analysis'!P20,'Attendance analysis'!Q20,'Attendance analysis'!R20,'Attendance analysis'!S20,'Attendance analysis'!T20,'Attendance analysis'!U20)</f>
        <v>1914.75</v>
      </c>
      <c r="E97" s="43">
        <f>CHOOSE(Rate,'Attendee giving analysis'!N79,'Attendee giving analysis'!O79,'Attendee giving analysis'!P79,'Attendee giving analysis'!Q79,'Attendee giving analysis'!R79,'Attendee giving analysis'!S79,'Attendee giving analysis'!T79)</f>
        <v>32.927561961133506</v>
      </c>
      <c r="G97" s="3">
        <f t="shared" si="1"/>
        <v>63048.049265080379</v>
      </c>
    </row>
    <row r="98" spans="2:7">
      <c r="B98" s="1">
        <v>13</v>
      </c>
      <c r="C98" s="44">
        <f>CHOOSE(Attend,'Attendance analysis'!O21,'Attendance analysis'!P21,'Attendance analysis'!Q21,'Attendance analysis'!R21,'Attendance analysis'!S21,'Attendance analysis'!T21,'Attendance analysis'!U21)</f>
        <v>2095</v>
      </c>
      <c r="E98" s="43">
        <f>CHOOSE(Rate,'Attendee giving analysis'!N80,'Attendee giving analysis'!O80,'Attendee giving analysis'!P80,'Attendee giving analysis'!Q80,'Attendee giving analysis'!R80,'Attendee giving analysis'!S80,'Attendee giving analysis'!T80)</f>
        <v>25.31826378525534</v>
      </c>
      <c r="G98" s="3">
        <f t="shared" si="1"/>
        <v>53041.762630109937</v>
      </c>
    </row>
    <row r="99" spans="2:7">
      <c r="B99" s="1">
        <v>14</v>
      </c>
      <c r="C99" s="44">
        <f>CHOOSE(Attend,'Attendance analysis'!O22,'Attendance analysis'!P22,'Attendance analysis'!Q22,'Attendance analysis'!R22,'Attendance analysis'!S22,'Attendance analysis'!T22,'Attendance analysis'!U22)</f>
        <v>1886.2857142857174</v>
      </c>
      <c r="E99" s="43">
        <f>CHOOSE(Rate,'Attendee giving analysis'!N81,'Attendee giving analysis'!O81,'Attendee giving analysis'!P81,'Attendee giving analysis'!Q81,'Attendee giving analysis'!R81,'Attendee giving analysis'!S81,'Attendee giving analysis'!T81)</f>
        <v>37.579529255734997</v>
      </c>
      <c r="G99" s="3">
        <f t="shared" si="1"/>
        <v>70885.729184675103</v>
      </c>
    </row>
    <row r="100" spans="2:7">
      <c r="B100" s="1">
        <v>15</v>
      </c>
      <c r="C100" s="44">
        <f>CHOOSE(Attend,'Attendance analysis'!O23,'Attendance analysis'!P23,'Attendance analysis'!Q23,'Attendance analysis'!R23,'Attendance analysis'!S23,'Attendance analysis'!T23,'Attendance analysis'!U23)</f>
        <v>2111.75</v>
      </c>
      <c r="E100" s="43">
        <f>CHOOSE(Rate,'Attendee giving analysis'!N82,'Attendee giving analysis'!O82,'Attendee giving analysis'!P82,'Attendee giving analysis'!Q82,'Attendee giving analysis'!R82,'Attendee giving analysis'!S82,'Attendee giving analysis'!T82)</f>
        <v>35.291087859158324</v>
      </c>
      <c r="G100" s="3">
        <f t="shared" si="1"/>
        <v>74525.954786577597</v>
      </c>
    </row>
    <row r="101" spans="2:7">
      <c r="B101" s="1">
        <v>16</v>
      </c>
      <c r="C101" s="44">
        <f>CHOOSE(Attend,'Attendance analysis'!O24,'Attendance analysis'!P24,'Attendance analysis'!Q24,'Attendance analysis'!R24,'Attendance analysis'!S24,'Attendance analysis'!T24,'Attendance analysis'!U24)</f>
        <v>1754.3214285714284</v>
      </c>
      <c r="E101" s="43">
        <f>CHOOSE(Rate,'Attendee giving analysis'!N83,'Attendee giving analysis'!O83,'Attendee giving analysis'!P83,'Attendee giving analysis'!Q83,'Attendee giving analysis'!R83,'Attendee giving analysis'!S83,'Attendee giving analysis'!T83)</f>
        <v>38.305415342284505</v>
      </c>
      <c r="G101" s="3">
        <f t="shared" si="1"/>
        <v>67200.010965298468</v>
      </c>
    </row>
    <row r="102" spans="2:7">
      <c r="B102" s="1">
        <v>17</v>
      </c>
      <c r="C102" s="44">
        <f>CHOOSE(Attend,'Attendance analysis'!O25,'Attendance analysis'!P25,'Attendance analysis'!Q25,'Attendance analysis'!R25,'Attendance analysis'!S25,'Attendance analysis'!T25,'Attendance analysis'!U25)</f>
        <v>2213.8214285714203</v>
      </c>
      <c r="E102" s="43">
        <f>CHOOSE(Rate,'Attendee giving analysis'!N84,'Attendee giving analysis'!O84,'Attendee giving analysis'!P84,'Attendee giving analysis'!Q84,'Attendee giving analysis'!R84,'Attendee giving analysis'!S84,'Attendee giving analysis'!T84)</f>
        <v>23.589633713649164</v>
      </c>
      <c r="G102" s="3">
        <f t="shared" si="1"/>
        <v>52223.23660742733</v>
      </c>
    </row>
    <row r="103" spans="2:7">
      <c r="B103" s="1">
        <v>18</v>
      </c>
      <c r="C103" s="44">
        <f>CHOOSE(Attend,'Attendance analysis'!O26,'Attendance analysis'!P26,'Attendance analysis'!Q26,'Attendance analysis'!R26,'Attendance analysis'!S26,'Attendance analysis'!T26,'Attendance analysis'!U26)</f>
        <v>1803.75</v>
      </c>
      <c r="E103" s="43">
        <f>CHOOSE(Rate,'Attendee giving analysis'!N85,'Attendee giving analysis'!O85,'Attendee giving analysis'!P85,'Attendee giving analysis'!Q85,'Attendee giving analysis'!R85,'Attendee giving analysis'!S85,'Attendee giving analysis'!T85)</f>
        <v>42.896579994190688</v>
      </c>
      <c r="G103" s="3">
        <f t="shared" si="1"/>
        <v>77374.706164521456</v>
      </c>
    </row>
    <row r="104" spans="2:7">
      <c r="B104" s="1">
        <v>19</v>
      </c>
      <c r="C104" s="44">
        <f>CHOOSE(Attend,'Attendance analysis'!O27,'Attendance analysis'!P27,'Attendance analysis'!Q27,'Attendance analysis'!R27,'Attendance analysis'!S27,'Attendance analysis'!T27,'Attendance analysis'!U27)</f>
        <v>1723.9642857142826</v>
      </c>
      <c r="E104" s="43">
        <f>CHOOSE(Rate,'Attendee giving analysis'!N86,'Attendee giving analysis'!O86,'Attendee giving analysis'!P86,'Attendee giving analysis'!Q86,'Attendee giving analysis'!R86,'Attendee giving analysis'!S86,'Attendee giving analysis'!T86)</f>
        <v>37.440936966304434</v>
      </c>
      <c r="G104" s="3">
        <f t="shared" si="1"/>
        <v>64546.838153588506</v>
      </c>
    </row>
    <row r="105" spans="2:7">
      <c r="B105" s="1">
        <v>20</v>
      </c>
      <c r="C105" s="44">
        <f>CHOOSE(Attend,'Attendance analysis'!O28,'Attendance analysis'!P28,'Attendance analysis'!Q28,'Attendance analysis'!R28,'Attendance analysis'!S28,'Attendance analysis'!T28,'Attendance analysis'!U28)</f>
        <v>1912.5</v>
      </c>
      <c r="E105" s="43">
        <f>CHOOSE(Rate,'Attendee giving analysis'!N87,'Attendee giving analysis'!O87,'Attendee giving analysis'!P87,'Attendee giving analysis'!Q87,'Attendee giving analysis'!R87,'Attendee giving analysis'!S87,'Attendee giving analysis'!T87)</f>
        <v>35.942306050767002</v>
      </c>
      <c r="G105" s="3">
        <f t="shared" si="1"/>
        <v>68739.660322091891</v>
      </c>
    </row>
    <row r="106" spans="2:7">
      <c r="B106" s="1">
        <v>21</v>
      </c>
      <c r="C106" s="44">
        <f>CHOOSE(Attend,'Attendance analysis'!O29,'Attendance analysis'!P29,'Attendance analysis'!Q29,'Attendance analysis'!R29,'Attendance analysis'!S29,'Attendance analysis'!T29,'Attendance analysis'!U29)</f>
        <v>1749.5</v>
      </c>
      <c r="E106" s="43">
        <f>CHOOSE(Rate,'Attendee giving analysis'!N88,'Attendee giving analysis'!O88,'Attendee giving analysis'!P88,'Attendee giving analysis'!Q88,'Attendee giving analysis'!R88,'Attendee giving analysis'!S88,'Attendee giving analysis'!T88)</f>
        <v>36.883845453965478</v>
      </c>
      <c r="G106" s="3">
        <f t="shared" si="1"/>
        <v>64528.287621712603</v>
      </c>
    </row>
    <row r="107" spans="2:7">
      <c r="B107" s="1">
        <v>22</v>
      </c>
      <c r="C107" s="44">
        <f>CHOOSE(Attend,'Attendance analysis'!O30,'Attendance analysis'!P30,'Attendance analysis'!Q30,'Attendance analysis'!R30,'Attendance analysis'!S30,'Attendance analysis'!T30,'Attendance analysis'!U30)</f>
        <v>1663</v>
      </c>
      <c r="E107" s="43">
        <f>CHOOSE(Rate,'Attendee giving analysis'!N89,'Attendee giving analysis'!O89,'Attendee giving analysis'!P89,'Attendee giving analysis'!Q89,'Attendee giving analysis'!R89,'Attendee giving analysis'!S89,'Attendee giving analysis'!T89)</f>
        <v>32.505202184029258</v>
      </c>
      <c r="G107" s="3">
        <f t="shared" si="1"/>
        <v>54056.151232040655</v>
      </c>
    </row>
    <row r="108" spans="2:7">
      <c r="B108" s="1">
        <v>23</v>
      </c>
      <c r="C108" s="44">
        <f>CHOOSE(Attend,'Attendance analysis'!O31,'Attendance analysis'!P31,'Attendance analysis'!Q31,'Attendance analysis'!R31,'Attendance analysis'!S31,'Attendance analysis'!T31,'Attendance analysis'!U31)</f>
        <v>1532.2857142857174</v>
      </c>
      <c r="E108" s="43">
        <f>CHOOSE(Rate,'Attendee giving analysis'!N90,'Attendee giving analysis'!O90,'Attendee giving analysis'!P90,'Attendee giving analysis'!Q90,'Attendee giving analysis'!R90,'Attendee giving analysis'!S90,'Attendee giving analysis'!T90)</f>
        <v>59.705756890554767</v>
      </c>
      <c r="G108" s="3">
        <f>C108*E108</f>
        <v>91486.278344013102</v>
      </c>
    </row>
    <row r="109" spans="2:7">
      <c r="B109" s="1">
        <v>24</v>
      </c>
      <c r="C109" s="44">
        <f>CHOOSE(Attend,'Attendance analysis'!O32,'Attendance analysis'!P32,'Attendance analysis'!Q32,'Attendance analysis'!R32,'Attendance analysis'!S32,'Attendance analysis'!T32,'Attendance analysis'!U32)</f>
        <v>1394.2857142857138</v>
      </c>
      <c r="E109" s="43">
        <f>CHOOSE(Rate,'Attendee giving analysis'!N91,'Attendee giving analysis'!O91,'Attendee giving analysis'!P91,'Attendee giving analysis'!Q91,'Attendee giving analysis'!R91,'Attendee giving analysis'!S91,'Attendee giving analysis'!T91)</f>
        <v>38.622417659345956</v>
      </c>
      <c r="G109" s="3">
        <f t="shared" ref="G109:G137" si="2">C109*E109</f>
        <v>53850.685193602345</v>
      </c>
    </row>
    <row r="110" spans="2:7">
      <c r="B110" s="1">
        <v>25</v>
      </c>
      <c r="C110" s="44">
        <f>CHOOSE(Attend,'Attendance analysis'!O33,'Attendance analysis'!P33,'Attendance analysis'!Q33,'Attendance analysis'!R33,'Attendance analysis'!S33,'Attendance analysis'!T33,'Attendance analysis'!U33)</f>
        <v>1309.1428571428571</v>
      </c>
      <c r="E110" s="43">
        <f>CHOOSE(Rate,'Attendee giving analysis'!N92,'Attendee giving analysis'!O92,'Attendee giving analysis'!P92,'Attendee giving analysis'!Q92,'Attendee giving analysis'!R92,'Attendee giving analysis'!S92,'Attendee giving analysis'!T92)</f>
        <v>39.076288668848974</v>
      </c>
      <c r="G110" s="3">
        <f t="shared" si="2"/>
        <v>51156.444194475996</v>
      </c>
    </row>
    <row r="111" spans="2:7">
      <c r="B111" s="1">
        <v>26</v>
      </c>
      <c r="C111" s="44">
        <f>CHOOSE(Attend,'Attendance analysis'!O34,'Attendance analysis'!P34,'Attendance analysis'!Q34,'Attendance analysis'!R34,'Attendance analysis'!S34,'Attendance analysis'!T34,'Attendance analysis'!U34)</f>
        <v>1356.2857142857156</v>
      </c>
      <c r="E111" s="43">
        <f>CHOOSE(Rate,'Attendee giving analysis'!N93,'Attendee giving analysis'!O93,'Attendee giving analysis'!P93,'Attendee giving analysis'!Q93,'Attendee giving analysis'!R93,'Attendee giving analysis'!S93,'Attendee giving analysis'!T93)</f>
        <v>51.191619307513974</v>
      </c>
      <c r="G111" s="3">
        <f t="shared" si="2"/>
        <v>69430.461957934021</v>
      </c>
    </row>
    <row r="112" spans="2:7">
      <c r="B112" s="1">
        <v>27</v>
      </c>
      <c r="C112" s="44">
        <f>CHOOSE(Attend,'Attendance analysis'!O35,'Attendance analysis'!P35,'Attendance analysis'!Q35,'Attendance analysis'!R35,'Attendance analysis'!S35,'Attendance analysis'!T35,'Attendance analysis'!U35)</f>
        <v>1408</v>
      </c>
      <c r="E112" s="43">
        <f>CHOOSE(Rate,'Attendee giving analysis'!N94,'Attendee giving analysis'!O94,'Attendee giving analysis'!P94,'Attendee giving analysis'!Q94,'Attendee giving analysis'!R94,'Attendee giving analysis'!S94,'Attendee giving analysis'!T94)</f>
        <v>42.177419206391278</v>
      </c>
      <c r="G112" s="3">
        <f t="shared" si="2"/>
        <v>59385.806242598919</v>
      </c>
    </row>
    <row r="113" spans="2:7">
      <c r="B113" s="1">
        <v>28</v>
      </c>
      <c r="C113" s="44">
        <f>CHOOSE(Attend,'Attendance analysis'!O36,'Attendance analysis'!P36,'Attendance analysis'!Q36,'Attendance analysis'!R36,'Attendance analysis'!S36,'Attendance analysis'!T36,'Attendance analysis'!U36)</f>
        <v>1426.5714285714275</v>
      </c>
      <c r="E113" s="43">
        <f>CHOOSE(Rate,'Attendee giving analysis'!N95,'Attendee giving analysis'!O95,'Attendee giving analysis'!P95,'Attendee giving analysis'!Q95,'Attendee giving analysis'!R95,'Attendee giving analysis'!S95,'Attendee giving analysis'!T95)</f>
        <v>33.442154718935399</v>
      </c>
      <c r="G113" s="3">
        <f t="shared" si="2"/>
        <v>47707.62243189838</v>
      </c>
    </row>
    <row r="114" spans="2:7">
      <c r="B114" s="1">
        <v>29</v>
      </c>
      <c r="C114" s="44">
        <f>CHOOSE(Attend,'Attendance analysis'!O37,'Attendance analysis'!P37,'Attendance analysis'!Q37,'Attendance analysis'!R37,'Attendance analysis'!S37,'Attendance analysis'!T37,'Attendance analysis'!U37)</f>
        <v>1411.7142857142858</v>
      </c>
      <c r="E114" s="43">
        <f>CHOOSE(Rate,'Attendee giving analysis'!N96,'Attendee giving analysis'!O96,'Attendee giving analysis'!P96,'Attendee giving analysis'!Q96,'Attendee giving analysis'!R96,'Attendee giving analysis'!S96,'Attendee giving analysis'!T96)</f>
        <v>52.25619374119924</v>
      </c>
      <c r="G114" s="3">
        <f t="shared" si="2"/>
        <v>73770.81522150441</v>
      </c>
    </row>
    <row r="115" spans="2:7">
      <c r="B115" s="1">
        <v>30</v>
      </c>
      <c r="C115" s="44">
        <f>CHOOSE(Attend,'Attendance analysis'!O38,'Attendance analysis'!P38,'Attendance analysis'!Q38,'Attendance analysis'!R38,'Attendance analysis'!S38,'Attendance analysis'!T38,'Attendance analysis'!U38)</f>
        <v>1430.5714285714275</v>
      </c>
      <c r="E115" s="43">
        <f>CHOOSE(Rate,'Attendee giving analysis'!N97,'Attendee giving analysis'!O97,'Attendee giving analysis'!P97,'Attendee giving analysis'!Q97,'Attendee giving analysis'!R97,'Attendee giving analysis'!S97,'Attendee giving analysis'!T97)</f>
        <v>42.284839243455281</v>
      </c>
      <c r="G115" s="3">
        <f t="shared" si="2"/>
        <v>60491.482883422985</v>
      </c>
    </row>
    <row r="116" spans="2:7">
      <c r="B116" s="1">
        <v>31</v>
      </c>
      <c r="C116" s="44">
        <f>CHOOSE(Attend,'Attendance analysis'!O39,'Attendance analysis'!P39,'Attendance analysis'!Q39,'Attendance analysis'!R39,'Attendance analysis'!S39,'Attendance analysis'!T39,'Attendance analysis'!U39)</f>
        <v>1177.1428571428551</v>
      </c>
      <c r="E116" s="43">
        <f>CHOOSE(Rate,'Attendee giving analysis'!N98,'Attendee giving analysis'!O98,'Attendee giving analysis'!P98,'Attendee giving analysis'!Q98,'Attendee giving analysis'!R98,'Attendee giving analysis'!S98,'Attendee giving analysis'!T98)</f>
        <v>34.610280174165837</v>
      </c>
      <c r="G116" s="3">
        <f t="shared" si="2"/>
        <v>40741.244090732282</v>
      </c>
    </row>
    <row r="117" spans="2:7">
      <c r="B117" s="1">
        <v>32</v>
      </c>
      <c r="C117" s="44">
        <f>CHOOSE(Attend,'Attendance analysis'!O40,'Attendance analysis'!P40,'Attendance analysis'!Q40,'Attendance analysis'!R40,'Attendance analysis'!S40,'Attendance analysis'!T40,'Attendance analysis'!U40)</f>
        <v>1311.1428571428551</v>
      </c>
      <c r="E117" s="43">
        <f>CHOOSE(Rate,'Attendee giving analysis'!N99,'Attendee giving analysis'!O99,'Attendee giving analysis'!P99,'Attendee giving analysis'!Q99,'Attendee giving analysis'!R99,'Attendee giving analysis'!S99,'Attendee giving analysis'!T99)</f>
        <v>48.57010318689936</v>
      </c>
      <c r="G117" s="3">
        <f t="shared" si="2"/>
        <v>63682.343864194518</v>
      </c>
    </row>
    <row r="118" spans="2:7">
      <c r="B118" s="1">
        <v>33</v>
      </c>
      <c r="C118" s="44">
        <f>CHOOSE(Attend,'Attendance analysis'!O41,'Attendance analysis'!P41,'Attendance analysis'!Q41,'Attendance analysis'!R41,'Attendance analysis'!S41,'Attendance analysis'!T41,'Attendance analysis'!U41)</f>
        <v>1396.2857142857174</v>
      </c>
      <c r="E118" s="43">
        <f>CHOOSE(Rate,'Attendee giving analysis'!N100,'Attendee giving analysis'!O100,'Attendee giving analysis'!P100,'Attendee giving analysis'!Q100,'Attendee giving analysis'!R100,'Attendee giving analysis'!S100,'Attendee giving analysis'!T100)</f>
        <v>34.345442085739705</v>
      </c>
      <c r="G118" s="3">
        <f t="shared" si="2"/>
        <v>47956.050135145808</v>
      </c>
    </row>
    <row r="119" spans="2:7">
      <c r="B119" s="1">
        <v>34</v>
      </c>
      <c r="C119" s="44">
        <f>CHOOSE(Attend,'Attendance analysis'!O42,'Attendance analysis'!P42,'Attendance analysis'!Q42,'Attendance analysis'!R42,'Attendance analysis'!S42,'Attendance analysis'!T42,'Attendance analysis'!U42)</f>
        <v>1682.5714285714203</v>
      </c>
      <c r="E119" s="43">
        <f>CHOOSE(Rate,'Attendee giving analysis'!N101,'Attendee giving analysis'!O101,'Attendee giving analysis'!P101,'Attendee giving analysis'!Q101,'Attendee giving analysis'!R101,'Attendee giving analysis'!S101,'Attendee giving analysis'!T101)</f>
        <v>28.834589838108514</v>
      </c>
      <c r="G119" s="3">
        <f t="shared" si="2"/>
        <v>48516.257016177202</v>
      </c>
    </row>
    <row r="120" spans="2:7">
      <c r="B120" s="1">
        <v>35</v>
      </c>
      <c r="C120" s="44">
        <f>CHOOSE(Attend,'Attendance analysis'!O43,'Attendance analysis'!P43,'Attendance analysis'!Q43,'Attendance analysis'!R43,'Attendance analysis'!S43,'Attendance analysis'!T43,'Attendance analysis'!U43)</f>
        <v>2150.5714285714284</v>
      </c>
      <c r="E120" s="43">
        <f>CHOOSE(Rate,'Attendee giving analysis'!N102,'Attendee giving analysis'!O102,'Attendee giving analysis'!P102,'Attendee giving analysis'!Q102,'Attendee giving analysis'!R102,'Attendee giving analysis'!S102,'Attendee giving analysis'!T102)</f>
        <v>21.868463720044474</v>
      </c>
      <c r="G120" s="3">
        <f t="shared" si="2"/>
        <v>47029.693263078501</v>
      </c>
    </row>
    <row r="121" spans="2:7">
      <c r="B121" s="1">
        <v>36</v>
      </c>
      <c r="C121" s="44">
        <f>CHOOSE(Attend,'Attendance analysis'!O44,'Attendance analysis'!P44,'Attendance analysis'!Q44,'Attendance analysis'!R44,'Attendance analysis'!S44,'Attendance analysis'!T44,'Attendance analysis'!U44)</f>
        <v>2247.1428571428696</v>
      </c>
      <c r="E121" s="43">
        <f>CHOOSE(Rate,'Attendee giving analysis'!N103,'Attendee giving analysis'!O103,'Attendee giving analysis'!P103,'Attendee giving analysis'!Q103,'Attendee giving analysis'!R103,'Attendee giving analysis'!S103,'Attendee giving analysis'!T103)</f>
        <v>35.286482675621301</v>
      </c>
      <c r="G121" s="3">
        <f t="shared" si="2"/>
        <v>79293.767498218018</v>
      </c>
    </row>
    <row r="122" spans="2:7">
      <c r="B122" s="1">
        <v>37</v>
      </c>
      <c r="C122" s="44">
        <f>CHOOSE(Attend,'Attendance analysis'!O45,'Attendance analysis'!P45,'Attendance analysis'!Q45,'Attendance analysis'!R45,'Attendance analysis'!S45,'Attendance analysis'!T45,'Attendance analysis'!U45)</f>
        <v>2391.1428571428551</v>
      </c>
      <c r="E122" s="43">
        <f>CHOOSE(Rate,'Attendee giving analysis'!N104,'Attendee giving analysis'!O104,'Attendee giving analysis'!P104,'Attendee giving analysis'!Q104,'Attendee giving analysis'!R104,'Attendee giving analysis'!S104,'Attendee giving analysis'!T104)</f>
        <v>23.573686976728823</v>
      </c>
      <c r="G122" s="3">
        <f t="shared" si="2"/>
        <v>56368.053230926671</v>
      </c>
    </row>
    <row r="123" spans="2:7">
      <c r="B123" s="1">
        <v>38</v>
      </c>
      <c r="C123" s="44">
        <f>CHOOSE(Attend,'Attendance analysis'!O46,'Attendance analysis'!P46,'Attendance analysis'!Q46,'Attendance analysis'!R46,'Attendance analysis'!S46,'Attendance analysis'!T46,'Attendance analysis'!U46)</f>
        <v>2161.4285714285725</v>
      </c>
      <c r="E123" s="43">
        <f>CHOOSE(Rate,'Attendee giving analysis'!N105,'Attendee giving analysis'!O105,'Attendee giving analysis'!P105,'Attendee giving analysis'!Q105,'Attendee giving analysis'!R105,'Attendee giving analysis'!S105,'Attendee giving analysis'!T105)</f>
        <v>33.910728406488488</v>
      </c>
      <c r="G123" s="3">
        <f t="shared" si="2"/>
        <v>73295.617255738718</v>
      </c>
    </row>
    <row r="124" spans="2:7">
      <c r="B124" s="1">
        <v>39</v>
      </c>
      <c r="C124" s="44">
        <f>CHOOSE(Attend,'Attendance analysis'!O47,'Attendance analysis'!P47,'Attendance analysis'!Q47,'Attendance analysis'!R47,'Attendance analysis'!S47,'Attendance analysis'!T47,'Attendance analysis'!U47)</f>
        <v>2023.4285714285725</v>
      </c>
      <c r="E124" s="43">
        <f>CHOOSE(Rate,'Attendee giving analysis'!N106,'Attendee giving analysis'!O106,'Attendee giving analysis'!P106,'Attendee giving analysis'!Q106,'Attendee giving analysis'!R106,'Attendee giving analysis'!S106,'Attendee giving analysis'!T106)</f>
        <v>44.069310677734393</v>
      </c>
      <c r="G124" s="3">
        <f t="shared" si="2"/>
        <v>89171.102348490036</v>
      </c>
    </row>
    <row r="125" spans="2:7">
      <c r="B125" s="1">
        <v>40</v>
      </c>
      <c r="C125" s="44">
        <f>CHOOSE(Attend,'Attendance analysis'!O48,'Attendance analysis'!P48,'Attendance analysis'!Q48,'Attendance analysis'!R48,'Attendance analysis'!S48,'Attendance analysis'!T48,'Attendance analysis'!U48)</f>
        <v>1930</v>
      </c>
      <c r="E125" s="43">
        <f>CHOOSE(Rate,'Attendee giving analysis'!N107,'Attendee giving analysis'!O107,'Attendee giving analysis'!P107,'Attendee giving analysis'!Q107,'Attendee giving analysis'!R107,'Attendee giving analysis'!S107,'Attendee giving analysis'!T107)</f>
        <v>30.739434492997134</v>
      </c>
      <c r="G125" s="3">
        <f t="shared" si="2"/>
        <v>59327.108571484467</v>
      </c>
    </row>
    <row r="126" spans="2:7">
      <c r="B126" s="1">
        <v>41</v>
      </c>
      <c r="C126" s="44">
        <f>CHOOSE(Attend,'Attendance analysis'!O49,'Attendance analysis'!P49,'Attendance analysis'!Q49,'Attendance analysis'!R49,'Attendance analysis'!S49,'Attendance analysis'!T49,'Attendance analysis'!U49)</f>
        <v>2017.9047619047633</v>
      </c>
      <c r="E126" s="43">
        <f>CHOOSE(Rate,'Attendee giving analysis'!N108,'Attendee giving analysis'!O108,'Attendee giving analysis'!P108,'Attendee giving analysis'!Q108,'Attendee giving analysis'!R108,'Attendee giving analysis'!S108,'Attendee giving analysis'!T108)</f>
        <v>36.786636816393184</v>
      </c>
      <c r="G126" s="3">
        <f t="shared" si="2"/>
        <v>74231.929606260892</v>
      </c>
    </row>
    <row r="127" spans="2:7">
      <c r="B127" s="1">
        <v>42</v>
      </c>
      <c r="C127" s="44">
        <f>CHOOSE(Attend,'Attendance analysis'!O50,'Attendance analysis'!P50,'Attendance analysis'!Q50,'Attendance analysis'!R50,'Attendance analysis'!S50,'Attendance analysis'!T50,'Attendance analysis'!U50)</f>
        <v>2198.057142857142</v>
      </c>
      <c r="E127" s="43">
        <f>CHOOSE(Rate,'Attendee giving analysis'!N109,'Attendee giving analysis'!O109,'Attendee giving analysis'!P109,'Attendee giving analysis'!Q109,'Attendee giving analysis'!R109,'Attendee giving analysis'!S109,'Attendee giving analysis'!T109)</f>
        <v>32.334622113487967</v>
      </c>
      <c r="G127" s="3">
        <f t="shared" si="2"/>
        <v>71073.347098138722</v>
      </c>
    </row>
    <row r="128" spans="2:7">
      <c r="B128" s="1">
        <v>43</v>
      </c>
      <c r="C128" s="44">
        <f>CHOOSE(Attend,'Attendance analysis'!O51,'Attendance analysis'!P51,'Attendance analysis'!Q51,'Attendance analysis'!R51,'Attendance analysis'!S51,'Attendance analysis'!T51,'Attendance analysis'!U51)</f>
        <v>1757.6380952381005</v>
      </c>
      <c r="E128" s="43">
        <f>CHOOSE(Rate,'Attendee giving analysis'!N110,'Attendee giving analysis'!O110,'Attendee giving analysis'!P110,'Attendee giving analysis'!Q110,'Attendee giving analysis'!R110,'Attendee giving analysis'!S110,'Attendee giving analysis'!T110)</f>
        <v>30.765844779412873</v>
      </c>
      <c r="G128" s="3">
        <f t="shared" si="2"/>
        <v>54075.220816478301</v>
      </c>
    </row>
    <row r="129" spans="2:7">
      <c r="B129" s="1">
        <v>44</v>
      </c>
      <c r="C129" s="44">
        <f>CHOOSE(Attend,'Attendance analysis'!O52,'Attendance analysis'!P52,'Attendance analysis'!Q52,'Attendance analysis'!R52,'Attendance analysis'!S52,'Attendance analysis'!T52,'Attendance analysis'!U52)</f>
        <v>1820.6285714285768</v>
      </c>
      <c r="E129" s="43">
        <f>CHOOSE(Rate,'Attendee giving analysis'!N111,'Attendee giving analysis'!O111,'Attendee giving analysis'!P111,'Attendee giving analysis'!Q111,'Attendee giving analysis'!R111,'Attendee giving analysis'!S111,'Attendee giving analysis'!T111)</f>
        <v>28.386032451086976</v>
      </c>
      <c r="G129" s="3">
        <f t="shared" si="2"/>
        <v>51680.421709947703</v>
      </c>
    </row>
    <row r="130" spans="2:7">
      <c r="B130" s="1">
        <v>45</v>
      </c>
      <c r="C130" s="44">
        <f>CHOOSE(Attend,'Attendance analysis'!O53,'Attendance analysis'!P53,'Attendance analysis'!Q53,'Attendance analysis'!R53,'Attendance analysis'!S53,'Attendance analysis'!T53,'Attendance analysis'!U53)</f>
        <v>2340.6095238095149</v>
      </c>
      <c r="E130" s="43">
        <f>CHOOSE(Rate,'Attendee giving analysis'!N112,'Attendee giving analysis'!O112,'Attendee giving analysis'!P112,'Attendee giving analysis'!Q112,'Attendee giving analysis'!R112,'Attendee giving analysis'!S112,'Attendee giving analysis'!T112)</f>
        <v>44.860026173146252</v>
      </c>
      <c r="G130" s="3">
        <f t="shared" si="2"/>
        <v>104999.80449921022</v>
      </c>
    </row>
    <row r="131" spans="2:7">
      <c r="B131" s="1">
        <v>46</v>
      </c>
      <c r="C131" s="44">
        <f>CHOOSE(Attend,'Attendance analysis'!O54,'Attendance analysis'!P54,'Attendance analysis'!Q54,'Attendance analysis'!R54,'Attendance analysis'!S54,'Attendance analysis'!T54,'Attendance analysis'!U54)</f>
        <v>2154.6857142857189</v>
      </c>
      <c r="E131" s="43">
        <f>CHOOSE(Rate,'Attendee giving analysis'!N113,'Attendee giving analysis'!O113,'Attendee giving analysis'!P113,'Attendee giving analysis'!Q113,'Attendee giving analysis'!R113,'Attendee giving analysis'!S113,'Attendee giving analysis'!T113)</f>
        <v>25.809271563173752</v>
      </c>
      <c r="G131" s="3">
        <f t="shared" si="2"/>
        <v>55610.868733291129</v>
      </c>
    </row>
    <row r="132" spans="2:7">
      <c r="B132" s="1">
        <v>47</v>
      </c>
      <c r="C132" s="44">
        <f>CHOOSE(Attend,'Attendance analysis'!O55,'Attendance analysis'!P55,'Attendance analysis'!Q55,'Attendance analysis'!R55,'Attendance analysis'!S55,'Attendance analysis'!T55,'Attendance analysis'!U55)</f>
        <v>2273.4285714285797</v>
      </c>
      <c r="E132" s="43">
        <f>CHOOSE(Rate,'Attendee giving analysis'!N114,'Attendee giving analysis'!O114,'Attendee giving analysis'!P114,'Attendee giving analysis'!Q114,'Attendee giving analysis'!R114,'Attendee giving analysis'!S114,'Attendee giving analysis'!T114)</f>
        <v>35.685923754120267</v>
      </c>
      <c r="G132" s="3">
        <f t="shared" si="2"/>
        <v>81129.398660438863</v>
      </c>
    </row>
    <row r="133" spans="2:7">
      <c r="B133" s="1">
        <v>48</v>
      </c>
      <c r="C133" s="44">
        <f>CHOOSE(Attend,'Attendance analysis'!O56,'Attendance analysis'!P56,'Attendance analysis'!Q56,'Attendance analysis'!R56,'Attendance analysis'!S56,'Attendance analysis'!T56,'Attendance analysis'!U56)</f>
        <v>1713.2380952381063</v>
      </c>
      <c r="E133" s="43">
        <f>CHOOSE(Rate,'Attendee giving analysis'!N115,'Attendee giving analysis'!O115,'Attendee giving analysis'!P115,'Attendee giving analysis'!Q115,'Attendee giving analysis'!R115,'Attendee giving analysis'!S115,'Attendee giving analysis'!T115)</f>
        <v>36.126954842376108</v>
      </c>
      <c r="G133" s="3">
        <f t="shared" si="2"/>
        <v>61894.075300905526</v>
      </c>
    </row>
    <row r="134" spans="2:7">
      <c r="B134" s="1">
        <v>49</v>
      </c>
      <c r="C134" s="44">
        <f>CHOOSE(Attend,'Attendance analysis'!O57,'Attendance analysis'!P57,'Attendance analysis'!Q57,'Attendance analysis'!R57,'Attendance analysis'!S57,'Attendance analysis'!T57,'Attendance analysis'!U57)</f>
        <v>2485.8857142857159</v>
      </c>
      <c r="E134" s="43">
        <f>CHOOSE(Rate,'Attendee giving analysis'!N116,'Attendee giving analysis'!O116,'Attendee giving analysis'!P116,'Attendee giving analysis'!Q116,'Attendee giving analysis'!R116,'Attendee giving analysis'!S116,'Attendee giving analysis'!T116)</f>
        <v>32.072246044886469</v>
      </c>
      <c r="G134" s="3">
        <f t="shared" si="2"/>
        <v>79727.938268039827</v>
      </c>
    </row>
    <row r="135" spans="2:7">
      <c r="B135" s="1">
        <v>50</v>
      </c>
      <c r="C135" s="44">
        <f>CHOOSE(Attend,'Attendance analysis'!O58,'Attendance analysis'!P58,'Attendance analysis'!Q58,'Attendance analysis'!R58,'Attendance analysis'!S58,'Attendance analysis'!T58,'Attendance analysis'!U58)</f>
        <v>2370.3047619047575</v>
      </c>
      <c r="E135" s="43">
        <f>CHOOSE(Rate,'Attendee giving analysis'!N117,'Attendee giving analysis'!O117,'Attendee giving analysis'!P117,'Attendee giving analysis'!Q117,'Attendee giving analysis'!R117,'Attendee giving analysis'!S117,'Attendee giving analysis'!T117)</f>
        <v>36.053506496073169</v>
      </c>
      <c r="G135" s="3">
        <f t="shared" si="2"/>
        <v>85457.798131006333</v>
      </c>
    </row>
    <row r="136" spans="2:7">
      <c r="B136" s="1">
        <v>51</v>
      </c>
      <c r="C136" s="44">
        <f>CHOOSE(Attend,'Attendance analysis'!O59,'Attendance analysis'!P59,'Attendance analysis'!Q59,'Attendance analysis'!R59,'Attendance analysis'!S59,'Attendance analysis'!T59,'Attendance analysis'!U59)</f>
        <v>1834.1523809523787</v>
      </c>
      <c r="E136" s="43">
        <f>CHOOSE(Rate,'Attendee giving analysis'!N118,'Attendee giving analysis'!O118,'Attendee giving analysis'!P118,'Attendee giving analysis'!Q118,'Attendee giving analysis'!R118,'Attendee giving analysis'!S118,'Attendee giving analysis'!T118)</f>
        <v>59.616084060722642</v>
      </c>
      <c r="G136" s="3">
        <f t="shared" si="2"/>
        <v>109344.98252303159</v>
      </c>
    </row>
    <row r="137" spans="2:7">
      <c r="B137" s="1">
        <v>52</v>
      </c>
      <c r="C137" s="44">
        <f>CHOOSE(Attend,'Attendance analysis'!O60,'Attendance analysis'!P60,'Attendance analysis'!Q60,'Attendance analysis'!R60,'Attendance analysis'!S60,'Attendance analysis'!T60,'Attendance analysis'!U60)</f>
        <v>1382.5714285714348</v>
      </c>
      <c r="E137" s="43">
        <f>CHOOSE(Rate,'Attendee giving analysis'!N119,'Attendee giving analysis'!O119,'Attendee giving analysis'!P119,'Attendee giving analysis'!Q119,'Attendee giving analysis'!R119,'Attendee giving analysis'!S119,'Attendee giving analysis'!T119)</f>
        <v>44.94635733235009</v>
      </c>
      <c r="G137" s="3">
        <f t="shared" si="2"/>
        <v>62141.549466069446</v>
      </c>
    </row>
    <row r="139" spans="2:7">
      <c r="B139" s="55" t="s">
        <v>3</v>
      </c>
      <c r="C139" s="35">
        <f>AVERAGE(C86:C137)</f>
        <v>1818.9663003663011</v>
      </c>
      <c r="E139" s="55" t="s">
        <v>5</v>
      </c>
      <c r="G139" s="28">
        <f>SUM(G86:G137)</f>
        <v>3464590.59294669</v>
      </c>
    </row>
  </sheetData>
  <mergeCells count="2">
    <mergeCell ref="B13:G13"/>
    <mergeCell ref="B82:G8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U63"/>
  <sheetViews>
    <sheetView workbookViewId="0"/>
  </sheetViews>
  <sheetFormatPr defaultColWidth="8.83203125" defaultRowHeight="12.75"/>
  <cols>
    <col min="1" max="1" width="2.83203125" style="1" customWidth="1"/>
    <col min="2" max="2" width="10.5" style="1" bestFit="1" customWidth="1"/>
    <col min="3" max="13" width="9.33203125" style="1" customWidth="1"/>
    <col min="14" max="14" width="2.83203125" style="1" customWidth="1"/>
    <col min="15" max="15" width="9.6640625" style="1" bestFit="1" customWidth="1"/>
    <col min="16" max="17" width="8.83203125" style="1"/>
    <col min="18" max="19" width="9" style="1" bestFit="1" customWidth="1"/>
    <col min="20" max="16384" width="8.83203125" style="1"/>
  </cols>
  <sheetData>
    <row r="1" spans="1:21">
      <c r="A1" s="7" t="str">
        <f>Client</f>
        <v>Example Church</v>
      </c>
    </row>
    <row r="2" spans="1:21">
      <c r="A2" s="7" t="str">
        <f>FileName</f>
        <v>Budget proposal worksheet</v>
      </c>
    </row>
    <row r="3" spans="1:21">
      <c r="A3" s="7" t="s">
        <v>275</v>
      </c>
    </row>
    <row r="4" spans="1:21">
      <c r="A4" s="8" t="str">
        <f>Date</f>
        <v>10/31/13</v>
      </c>
    </row>
    <row r="6" spans="1:21">
      <c r="B6" s="113" t="s">
        <v>276</v>
      </c>
      <c r="C6" s="113"/>
      <c r="D6" s="113"/>
      <c r="E6" s="113"/>
      <c r="F6" s="113"/>
      <c r="G6" s="113"/>
      <c r="H6" s="113"/>
      <c r="I6" s="113"/>
      <c r="J6" s="113"/>
      <c r="K6" s="113"/>
      <c r="L6" s="113"/>
      <c r="M6" s="113"/>
      <c r="N6" s="113"/>
      <c r="O6" s="113"/>
      <c r="P6" s="113"/>
      <c r="Q6" s="113"/>
      <c r="R6" s="113"/>
      <c r="S6" s="113"/>
      <c r="T6" s="113"/>
      <c r="U6" s="113"/>
    </row>
    <row r="7" spans="1:21">
      <c r="R7" s="9" t="s">
        <v>3</v>
      </c>
      <c r="S7" s="9" t="s">
        <v>3</v>
      </c>
      <c r="T7" s="19" t="s">
        <v>287</v>
      </c>
      <c r="U7" s="49" t="s">
        <v>339</v>
      </c>
    </row>
    <row r="8" spans="1:21">
      <c r="B8" s="20" t="s">
        <v>0</v>
      </c>
      <c r="C8" s="21">
        <v>2005</v>
      </c>
      <c r="D8" s="21">
        <v>2006</v>
      </c>
      <c r="E8" s="21">
        <v>2007</v>
      </c>
      <c r="F8" s="21">
        <v>2008</v>
      </c>
      <c r="G8" s="21">
        <v>2009</v>
      </c>
      <c r="H8" s="21">
        <v>2010</v>
      </c>
      <c r="I8" s="21">
        <v>2011</v>
      </c>
      <c r="J8" s="21">
        <v>2012</v>
      </c>
      <c r="K8" s="21">
        <v>2013</v>
      </c>
      <c r="L8" s="21">
        <v>2014</v>
      </c>
      <c r="M8" s="48"/>
      <c r="O8" s="22" t="s">
        <v>273</v>
      </c>
      <c r="P8" s="22" t="s">
        <v>3</v>
      </c>
      <c r="Q8" s="22" t="s">
        <v>274</v>
      </c>
      <c r="R8" s="22" t="s">
        <v>278</v>
      </c>
      <c r="S8" s="22" t="s">
        <v>286</v>
      </c>
      <c r="T8" s="23" t="s">
        <v>288</v>
      </c>
      <c r="U8" s="23" t="s">
        <v>299</v>
      </c>
    </row>
    <row r="9" spans="1:21">
      <c r="A9" s="17"/>
      <c r="B9" s="24">
        <f>'Source data'!C8</f>
        <v>1</v>
      </c>
      <c r="C9" s="45">
        <f>'Source data'!I8</f>
        <v>980</v>
      </c>
      <c r="D9" s="45">
        <f>'Source data'!W8</f>
        <v>1156</v>
      </c>
      <c r="E9" s="45">
        <f>'Source data'!AK8</f>
        <v>858</v>
      </c>
      <c r="F9" s="45">
        <f>'Source data'!AY8</f>
        <v>1360</v>
      </c>
      <c r="G9" s="45">
        <f>'Source data'!BM8</f>
        <v>954</v>
      </c>
      <c r="H9" s="45">
        <f>'Source data'!CA8</f>
        <v>1942</v>
      </c>
      <c r="I9" s="45">
        <f>'Source data'!CO8</f>
        <v>1296</v>
      </c>
      <c r="J9" s="45">
        <f>'Source data'!DC8</f>
        <v>908</v>
      </c>
      <c r="K9" s="45">
        <f>'Source data'!DQ8</f>
        <v>1328</v>
      </c>
      <c r="L9" s="45"/>
      <c r="M9" s="45"/>
      <c r="O9" s="3">
        <f>MAX(C9:K9)</f>
        <v>1942</v>
      </c>
      <c r="P9" s="3">
        <f>AVERAGE(C9:K9)</f>
        <v>1198</v>
      </c>
      <c r="Q9" s="3">
        <f>MIN(C9:K9)</f>
        <v>858</v>
      </c>
      <c r="R9" s="3">
        <f>AVERAGE(I9:K9)</f>
        <v>1177.3333333333333</v>
      </c>
      <c r="S9" s="3">
        <f>AVERAGE(J9:K9)</f>
        <v>1118</v>
      </c>
      <c r="T9" s="3">
        <f>K9</f>
        <v>1328</v>
      </c>
      <c r="U9" s="26">
        <f>TREND(D9:K9,$D$8:$K$8,$L$8)</f>
        <v>1345.7857142857174</v>
      </c>
    </row>
    <row r="10" spans="1:21">
      <c r="B10" s="24">
        <f>'Source data'!C9</f>
        <v>2</v>
      </c>
      <c r="C10" s="45">
        <f>'Source data'!I9</f>
        <v>1820</v>
      </c>
      <c r="D10" s="45">
        <f>'Source data'!W9</f>
        <v>1876</v>
      </c>
      <c r="E10" s="45">
        <f>'Source data'!AK9</f>
        <v>832</v>
      </c>
      <c r="F10" s="45">
        <f>'Source data'!AY9</f>
        <v>1416</v>
      </c>
      <c r="G10" s="45">
        <f>'Source data'!BM9</f>
        <v>1158</v>
      </c>
      <c r="H10" s="45">
        <f>'Source data'!CA9</f>
        <v>2329</v>
      </c>
      <c r="I10" s="45">
        <f>'Source data'!CO9</f>
        <v>1600</v>
      </c>
      <c r="J10" s="45">
        <f>'Source data'!DC9</f>
        <v>1616</v>
      </c>
      <c r="K10" s="45">
        <f>'Source data'!DQ9</f>
        <v>1482</v>
      </c>
      <c r="L10" s="45"/>
      <c r="M10" s="45"/>
      <c r="O10" s="3">
        <f t="shared" ref="O10:O60" si="0">MAX(C10:K10)</f>
        <v>2329</v>
      </c>
      <c r="P10" s="3">
        <f t="shared" ref="P10:P30" si="1">AVERAGE(C10:K10)</f>
        <v>1569.8888888888889</v>
      </c>
      <c r="Q10" s="3">
        <f t="shared" ref="Q10:Q30" si="2">MIN(C10:K10)</f>
        <v>832</v>
      </c>
      <c r="R10" s="3">
        <f t="shared" ref="R10:R30" si="3">AVERAGE(I10:K10)</f>
        <v>1566</v>
      </c>
      <c r="S10" s="3">
        <f t="shared" ref="S10:S30" si="4">AVERAGE(J10:K10)</f>
        <v>1549</v>
      </c>
      <c r="T10" s="3">
        <f t="shared" ref="T10:T30" si="5">K10</f>
        <v>1482</v>
      </c>
      <c r="U10" s="26">
        <f t="shared" ref="U10:U30" si="6">TREND(D10:K10,$D$8:$K$8,$L$8)</f>
        <v>1693.1785714285797</v>
      </c>
    </row>
    <row r="11" spans="1:21">
      <c r="B11" s="24">
        <f>'Source data'!C10</f>
        <v>3</v>
      </c>
      <c r="C11" s="45">
        <f>'Source data'!I10</f>
        <v>1724</v>
      </c>
      <c r="D11" s="45">
        <f>'Source data'!W10</f>
        <v>1928</v>
      </c>
      <c r="E11" s="45">
        <f>'Source data'!AK10</f>
        <v>936</v>
      </c>
      <c r="F11" s="45">
        <f>'Source data'!AY10</f>
        <v>1426</v>
      </c>
      <c r="G11" s="45">
        <f>'Source data'!BM10</f>
        <v>1080</v>
      </c>
      <c r="H11" s="45">
        <f>'Source data'!CA10</f>
        <v>2175</v>
      </c>
      <c r="I11" s="45">
        <f>'Source data'!CO10</f>
        <v>1430</v>
      </c>
      <c r="J11" s="45">
        <f>'Source data'!DC10</f>
        <v>1610</v>
      </c>
      <c r="K11" s="45">
        <f>'Source data'!DQ10</f>
        <v>1492</v>
      </c>
      <c r="L11" s="45"/>
      <c r="M11" s="45"/>
      <c r="O11" s="3">
        <f t="shared" si="0"/>
        <v>2175</v>
      </c>
      <c r="P11" s="3">
        <f t="shared" si="1"/>
        <v>1533.4444444444443</v>
      </c>
      <c r="Q11" s="3">
        <f t="shared" si="2"/>
        <v>936</v>
      </c>
      <c r="R11" s="3">
        <f t="shared" si="3"/>
        <v>1510.6666666666667</v>
      </c>
      <c r="S11" s="3">
        <f t="shared" si="4"/>
        <v>1551</v>
      </c>
      <c r="T11" s="3">
        <f t="shared" si="5"/>
        <v>1492</v>
      </c>
      <c r="U11" s="26">
        <f t="shared" si="6"/>
        <v>1585.9642857142899</v>
      </c>
    </row>
    <row r="12" spans="1:21">
      <c r="B12" s="24">
        <f>'Source data'!C11</f>
        <v>4</v>
      </c>
      <c r="C12" s="45">
        <f>'Source data'!I11</f>
        <v>1692</v>
      </c>
      <c r="D12" s="45">
        <f>'Source data'!W11</f>
        <v>1728</v>
      </c>
      <c r="E12" s="45">
        <f>'Source data'!AK11</f>
        <v>1254</v>
      </c>
      <c r="F12" s="45">
        <f>'Source data'!AY11</f>
        <v>1763</v>
      </c>
      <c r="G12" s="45">
        <f>'Source data'!BM11</f>
        <v>1412</v>
      </c>
      <c r="H12" s="45">
        <f>'Source data'!CA11</f>
        <v>2296</v>
      </c>
      <c r="I12" s="45">
        <f>'Source data'!CO11</f>
        <v>1584</v>
      </c>
      <c r="J12" s="45">
        <f>'Source data'!DC11</f>
        <v>1664</v>
      </c>
      <c r="K12" s="45">
        <f>'Source data'!DQ11</f>
        <v>1644</v>
      </c>
      <c r="L12" s="45"/>
      <c r="M12" s="45"/>
      <c r="O12" s="3">
        <f t="shared" si="0"/>
        <v>2296</v>
      </c>
      <c r="P12" s="3">
        <f t="shared" si="1"/>
        <v>1670.7777777777778</v>
      </c>
      <c r="Q12" s="3">
        <f t="shared" si="2"/>
        <v>1254</v>
      </c>
      <c r="R12" s="3">
        <f t="shared" si="3"/>
        <v>1630.6666666666667</v>
      </c>
      <c r="S12" s="3">
        <f t="shared" si="4"/>
        <v>1654</v>
      </c>
      <c r="T12" s="3">
        <f t="shared" si="5"/>
        <v>1644</v>
      </c>
      <c r="U12" s="26">
        <f t="shared" si="6"/>
        <v>1765.0357142857174</v>
      </c>
    </row>
    <row r="13" spans="1:21">
      <c r="B13" s="24">
        <f>'Source data'!C12</f>
        <v>5</v>
      </c>
      <c r="C13" s="45">
        <f>'Source data'!I12</f>
        <v>2052</v>
      </c>
      <c r="D13" s="45">
        <f>'Source data'!W12</f>
        <v>2436</v>
      </c>
      <c r="E13" s="45">
        <f>'Source data'!AK12</f>
        <v>1132</v>
      </c>
      <c r="F13" s="45">
        <f>'Source data'!AY12</f>
        <v>1791</v>
      </c>
      <c r="G13" s="45">
        <f>'Source data'!BM12</f>
        <v>1422</v>
      </c>
      <c r="H13" s="45">
        <f>'Source data'!CA12</f>
        <v>2374</v>
      </c>
      <c r="I13" s="45">
        <f>'Source data'!CO12</f>
        <v>1632</v>
      </c>
      <c r="J13" s="45">
        <f>'Source data'!DC12</f>
        <v>1918</v>
      </c>
      <c r="K13" s="45">
        <f>'Source data'!DQ12</f>
        <v>1848</v>
      </c>
      <c r="L13" s="45"/>
      <c r="M13" s="45"/>
      <c r="O13" s="3">
        <f t="shared" si="0"/>
        <v>2436</v>
      </c>
      <c r="P13" s="3">
        <f t="shared" si="1"/>
        <v>1845</v>
      </c>
      <c r="Q13" s="3">
        <f t="shared" si="2"/>
        <v>1132</v>
      </c>
      <c r="R13" s="3">
        <f t="shared" si="3"/>
        <v>1799.3333333333333</v>
      </c>
      <c r="S13" s="3">
        <f t="shared" si="4"/>
        <v>1883</v>
      </c>
      <c r="T13" s="3">
        <f t="shared" si="5"/>
        <v>1848</v>
      </c>
      <c r="U13" s="26">
        <f t="shared" si="6"/>
        <v>1834.6071428571422</v>
      </c>
    </row>
    <row r="14" spans="1:21">
      <c r="B14" s="24">
        <f>'Source data'!C13</f>
        <v>6</v>
      </c>
      <c r="C14" s="45">
        <f>'Source data'!I13</f>
        <v>2248</v>
      </c>
      <c r="D14" s="45">
        <f>'Source data'!W13</f>
        <v>2524</v>
      </c>
      <c r="E14" s="45">
        <f>'Source data'!AK13</f>
        <v>1050</v>
      </c>
      <c r="F14" s="45">
        <f>'Source data'!AY13</f>
        <v>1767</v>
      </c>
      <c r="G14" s="45">
        <f>'Source data'!BM13</f>
        <v>1558</v>
      </c>
      <c r="H14" s="45">
        <f>'Source data'!CA13</f>
        <v>2692</v>
      </c>
      <c r="I14" s="45">
        <f>'Source data'!CO13</f>
        <v>1656</v>
      </c>
      <c r="J14" s="45">
        <f>'Source data'!DC13</f>
        <v>2150</v>
      </c>
      <c r="K14" s="45">
        <f>'Source data'!DQ13</f>
        <v>2016</v>
      </c>
      <c r="L14" s="45"/>
      <c r="M14" s="45"/>
      <c r="O14" s="3">
        <f t="shared" si="0"/>
        <v>2692</v>
      </c>
      <c r="P14" s="3">
        <f t="shared" si="1"/>
        <v>1962.3333333333333</v>
      </c>
      <c r="Q14" s="3">
        <f t="shared" si="2"/>
        <v>1050</v>
      </c>
      <c r="R14" s="3">
        <f t="shared" si="3"/>
        <v>1940.6666666666667</v>
      </c>
      <c r="S14" s="3">
        <f t="shared" si="4"/>
        <v>2083</v>
      </c>
      <c r="T14" s="3">
        <f t="shared" si="5"/>
        <v>2016</v>
      </c>
      <c r="U14" s="26">
        <f t="shared" si="6"/>
        <v>2073.6785714285652</v>
      </c>
    </row>
    <row r="15" spans="1:21">
      <c r="B15" s="24">
        <f>'Source data'!C14</f>
        <v>7</v>
      </c>
      <c r="C15" s="45">
        <f>'Source data'!I14</f>
        <v>2924</v>
      </c>
      <c r="D15" s="45">
        <f>'Source data'!W14</f>
        <v>2324</v>
      </c>
      <c r="E15" s="45">
        <f>'Source data'!AK14</f>
        <v>1178</v>
      </c>
      <c r="F15" s="45">
        <f>'Source data'!AY14</f>
        <v>1834</v>
      </c>
      <c r="G15" s="45">
        <f>'Source data'!BM14</f>
        <v>1390</v>
      </c>
      <c r="H15" s="45">
        <f>'Source data'!CA14</f>
        <v>2614</v>
      </c>
      <c r="I15" s="45">
        <f>'Source data'!CO14</f>
        <v>1724</v>
      </c>
      <c r="J15" s="45">
        <f>'Source data'!DC14</f>
        <v>1924</v>
      </c>
      <c r="K15" s="45">
        <f>'Source data'!DQ14</f>
        <v>1984</v>
      </c>
      <c r="L15" s="45"/>
      <c r="M15" s="45"/>
      <c r="O15" s="3">
        <f t="shared" si="0"/>
        <v>2924</v>
      </c>
      <c r="P15" s="3">
        <f t="shared" si="1"/>
        <v>1988.4444444444443</v>
      </c>
      <c r="Q15" s="3">
        <f t="shared" si="2"/>
        <v>1178</v>
      </c>
      <c r="R15" s="3">
        <f t="shared" si="3"/>
        <v>1877.3333333333333</v>
      </c>
      <c r="S15" s="3">
        <f t="shared" si="4"/>
        <v>1954</v>
      </c>
      <c r="T15" s="3">
        <f t="shared" si="5"/>
        <v>1984</v>
      </c>
      <c r="U15" s="26">
        <f t="shared" si="6"/>
        <v>1991.7142857142899</v>
      </c>
    </row>
    <row r="16" spans="1:21">
      <c r="B16" s="24">
        <f>'Source data'!C15</f>
        <v>8</v>
      </c>
      <c r="C16" s="45">
        <f>'Source data'!I15</f>
        <v>2296</v>
      </c>
      <c r="D16" s="45">
        <f>'Source data'!W15</f>
        <v>2556</v>
      </c>
      <c r="E16" s="45">
        <f>'Source data'!AK15</f>
        <v>1168</v>
      </c>
      <c r="F16" s="45">
        <f>'Source data'!AY15</f>
        <v>1857</v>
      </c>
      <c r="G16" s="45">
        <f>'Source data'!BM15</f>
        <v>1462</v>
      </c>
      <c r="H16" s="45">
        <f>'Source data'!CA15</f>
        <v>2642</v>
      </c>
      <c r="I16" s="45">
        <f>'Source data'!CO15</f>
        <v>1706</v>
      </c>
      <c r="J16" s="45">
        <f>'Source data'!DC15</f>
        <v>1546</v>
      </c>
      <c r="K16" s="45">
        <f>'Source data'!DQ15</f>
        <v>1950</v>
      </c>
      <c r="L16" s="45"/>
      <c r="M16" s="45"/>
      <c r="O16" s="3">
        <f t="shared" si="0"/>
        <v>2642</v>
      </c>
      <c r="P16" s="3">
        <f t="shared" si="1"/>
        <v>1909.2222222222222</v>
      </c>
      <c r="Q16" s="3">
        <f t="shared" si="2"/>
        <v>1168</v>
      </c>
      <c r="R16" s="3">
        <f t="shared" si="3"/>
        <v>1734</v>
      </c>
      <c r="S16" s="3">
        <f t="shared" si="4"/>
        <v>1748</v>
      </c>
      <c r="T16" s="3">
        <f t="shared" si="5"/>
        <v>1950</v>
      </c>
      <c r="U16" s="26">
        <f t="shared" si="6"/>
        <v>1773.8214285714275</v>
      </c>
    </row>
    <row r="17" spans="2:21">
      <c r="B17" s="24">
        <f>'Source data'!C16</f>
        <v>9</v>
      </c>
      <c r="C17" s="45">
        <f>'Source data'!I16</f>
        <v>2452</v>
      </c>
      <c r="D17" s="45">
        <f>'Source data'!W16</f>
        <v>2336</v>
      </c>
      <c r="E17" s="45">
        <f>'Source data'!AK16</f>
        <v>1084</v>
      </c>
      <c r="F17" s="45">
        <f>'Source data'!AY16</f>
        <v>1712</v>
      </c>
      <c r="G17" s="45">
        <f>'Source data'!BM16</f>
        <v>1450</v>
      </c>
      <c r="H17" s="45">
        <f>'Source data'!CA16</f>
        <v>2286</v>
      </c>
      <c r="I17" s="45">
        <f>'Source data'!CO16</f>
        <v>1534</v>
      </c>
      <c r="J17" s="45">
        <f>'Source data'!DC16</f>
        <v>1948</v>
      </c>
      <c r="K17" s="45">
        <f>'Source data'!DQ16</f>
        <v>1844</v>
      </c>
      <c r="L17" s="45"/>
      <c r="M17" s="45"/>
      <c r="O17" s="3">
        <f t="shared" si="0"/>
        <v>2452</v>
      </c>
      <c r="P17" s="3">
        <f t="shared" si="1"/>
        <v>1849.5555555555557</v>
      </c>
      <c r="Q17" s="3">
        <f t="shared" si="2"/>
        <v>1084</v>
      </c>
      <c r="R17" s="3">
        <f t="shared" si="3"/>
        <v>1775.3333333333333</v>
      </c>
      <c r="S17" s="3">
        <f t="shared" si="4"/>
        <v>1896</v>
      </c>
      <c r="T17" s="3">
        <f t="shared" si="5"/>
        <v>1844</v>
      </c>
      <c r="U17" s="26">
        <f t="shared" si="6"/>
        <v>1837.3571428571449</v>
      </c>
    </row>
    <row r="18" spans="2:21">
      <c r="B18" s="24">
        <f>'Source data'!C17</f>
        <v>10</v>
      </c>
      <c r="C18" s="45">
        <f>'Source data'!I17</f>
        <v>2424</v>
      </c>
      <c r="D18" s="45">
        <f>'Source data'!W17</f>
        <v>2248</v>
      </c>
      <c r="E18" s="45">
        <f>'Source data'!AK17</f>
        <v>1068</v>
      </c>
      <c r="F18" s="45">
        <f>'Source data'!AY17</f>
        <v>1652</v>
      </c>
      <c r="G18" s="45">
        <f>'Source data'!BM17</f>
        <v>1304</v>
      </c>
      <c r="H18" s="45">
        <f>'Source data'!CA17</f>
        <v>2685</v>
      </c>
      <c r="I18" s="45">
        <f>'Source data'!CO17</f>
        <v>1770</v>
      </c>
      <c r="J18" s="45">
        <f>'Source data'!DC17</f>
        <v>2018</v>
      </c>
      <c r="K18" s="45">
        <f>'Source data'!DQ17</f>
        <v>1596</v>
      </c>
      <c r="L18" s="45"/>
      <c r="M18" s="45"/>
      <c r="O18" s="3">
        <f t="shared" si="0"/>
        <v>2685</v>
      </c>
      <c r="P18" s="3">
        <f t="shared" si="1"/>
        <v>1862.7777777777778</v>
      </c>
      <c r="Q18" s="3">
        <f t="shared" si="2"/>
        <v>1068</v>
      </c>
      <c r="R18" s="3">
        <f t="shared" si="3"/>
        <v>1794.6666666666667</v>
      </c>
      <c r="S18" s="3">
        <f t="shared" si="4"/>
        <v>1807</v>
      </c>
      <c r="T18" s="3">
        <f t="shared" si="5"/>
        <v>1596</v>
      </c>
      <c r="U18" s="26">
        <f t="shared" si="6"/>
        <v>1895.5357142857174</v>
      </c>
    </row>
    <row r="19" spans="2:21">
      <c r="B19" s="24">
        <f>'Source data'!C18</f>
        <v>11</v>
      </c>
      <c r="C19" s="45">
        <f>'Source data'!I18</f>
        <v>2216</v>
      </c>
      <c r="D19" s="45">
        <f>'Source data'!W18</f>
        <v>2544</v>
      </c>
      <c r="E19" s="45">
        <f>'Source data'!AK18</f>
        <v>1028</v>
      </c>
      <c r="F19" s="45">
        <f>'Source data'!AY18</f>
        <v>1689</v>
      </c>
      <c r="G19" s="45">
        <f>'Source data'!BM18</f>
        <v>1492</v>
      </c>
      <c r="H19" s="45">
        <f>'Source data'!CA18</f>
        <v>2476</v>
      </c>
      <c r="I19" s="45">
        <f>'Source data'!CO18</f>
        <v>1682</v>
      </c>
      <c r="J19" s="45">
        <f>'Source data'!DC18</f>
        <v>1820</v>
      </c>
      <c r="K19" s="45">
        <f>'Source data'!DQ18</f>
        <v>1942</v>
      </c>
      <c r="L19" s="45"/>
      <c r="M19" s="45"/>
      <c r="O19" s="3">
        <f t="shared" si="0"/>
        <v>2544</v>
      </c>
      <c r="P19" s="3">
        <f t="shared" si="1"/>
        <v>1876.5555555555557</v>
      </c>
      <c r="Q19" s="3">
        <f t="shared" si="2"/>
        <v>1028</v>
      </c>
      <c r="R19" s="3">
        <f t="shared" si="3"/>
        <v>1814.6666666666667</v>
      </c>
      <c r="S19" s="3">
        <f t="shared" si="4"/>
        <v>1881</v>
      </c>
      <c r="T19" s="3">
        <f t="shared" si="5"/>
        <v>1942</v>
      </c>
      <c r="U19" s="26">
        <f t="shared" si="6"/>
        <v>1872.1071428571449</v>
      </c>
    </row>
    <row r="20" spans="2:21">
      <c r="B20" s="24">
        <f>'Source data'!C19</f>
        <v>12</v>
      </c>
      <c r="C20" s="45">
        <f>'Source data'!I19</f>
        <v>2424</v>
      </c>
      <c r="D20" s="45">
        <f>'Source data'!W19</f>
        <v>2420</v>
      </c>
      <c r="E20" s="45">
        <f>'Source data'!AK19</f>
        <v>1084</v>
      </c>
      <c r="F20" s="45">
        <f>'Source data'!AY19</f>
        <v>1765</v>
      </c>
      <c r="G20" s="45">
        <f>'Source data'!BM19</f>
        <v>2048</v>
      </c>
      <c r="H20" s="45">
        <f>'Source data'!CA19</f>
        <v>2406</v>
      </c>
      <c r="I20" s="45">
        <f>'Source data'!CO19</f>
        <v>1622</v>
      </c>
      <c r="J20" s="45">
        <f>'Source data'!DC19</f>
        <v>1864</v>
      </c>
      <c r="K20" s="45">
        <f>'Source data'!DQ19</f>
        <v>1932</v>
      </c>
      <c r="L20" s="45"/>
      <c r="M20" s="45"/>
      <c r="O20" s="3">
        <f t="shared" si="0"/>
        <v>2424</v>
      </c>
      <c r="P20" s="3">
        <f t="shared" si="1"/>
        <v>1951.6666666666667</v>
      </c>
      <c r="Q20" s="3">
        <f t="shared" si="2"/>
        <v>1084</v>
      </c>
      <c r="R20" s="3">
        <f t="shared" si="3"/>
        <v>1806</v>
      </c>
      <c r="S20" s="3">
        <f t="shared" si="4"/>
        <v>1898</v>
      </c>
      <c r="T20" s="3">
        <f t="shared" si="5"/>
        <v>1932</v>
      </c>
      <c r="U20" s="26">
        <f t="shared" si="6"/>
        <v>1914.75</v>
      </c>
    </row>
    <row r="21" spans="2:21">
      <c r="B21" s="24">
        <f>'Source data'!C20</f>
        <v>13</v>
      </c>
      <c r="C21" s="45">
        <f>'Source data'!I20</f>
        <v>1992</v>
      </c>
      <c r="D21" s="45">
        <f>'Source data'!W20</f>
        <v>2252</v>
      </c>
      <c r="E21" s="45">
        <f>'Source data'!AK20</f>
        <v>1022</v>
      </c>
      <c r="F21" s="45">
        <f>'Source data'!AY20</f>
        <v>1646</v>
      </c>
      <c r="G21" s="45">
        <f>'Source data'!BM20</f>
        <v>1634</v>
      </c>
      <c r="H21" s="45">
        <f>'Source data'!CA20</f>
        <v>2572</v>
      </c>
      <c r="I21" s="45">
        <f>'Source data'!CO20</f>
        <v>1624</v>
      </c>
      <c r="J21" s="45">
        <f>'Source data'!DC20</f>
        <v>1850</v>
      </c>
      <c r="K21" s="45">
        <f>'Source data'!DQ20</f>
        <v>2192</v>
      </c>
      <c r="L21" s="45"/>
      <c r="M21" s="45"/>
      <c r="O21" s="3">
        <f t="shared" si="0"/>
        <v>2572</v>
      </c>
      <c r="P21" s="3">
        <f t="shared" si="1"/>
        <v>1864.8888888888889</v>
      </c>
      <c r="Q21" s="3">
        <f t="shared" si="2"/>
        <v>1022</v>
      </c>
      <c r="R21" s="3">
        <f t="shared" si="3"/>
        <v>1888.6666666666667</v>
      </c>
      <c r="S21" s="3">
        <f t="shared" si="4"/>
        <v>2021</v>
      </c>
      <c r="T21" s="3">
        <f t="shared" si="5"/>
        <v>2192</v>
      </c>
      <c r="U21" s="26">
        <f t="shared" si="6"/>
        <v>2095</v>
      </c>
    </row>
    <row r="22" spans="2:21">
      <c r="B22" s="24">
        <f>'Source data'!C21</f>
        <v>14</v>
      </c>
      <c r="C22" s="45">
        <f>'Source data'!I21</f>
        <v>1588</v>
      </c>
      <c r="D22" s="45">
        <f>'Source data'!W21</f>
        <v>2084</v>
      </c>
      <c r="E22" s="45">
        <f>'Source data'!AK21</f>
        <v>1194</v>
      </c>
      <c r="F22" s="45">
        <f>'Source data'!AY21</f>
        <v>1859</v>
      </c>
      <c r="G22" s="45">
        <f>'Source data'!BM21</f>
        <v>1868</v>
      </c>
      <c r="H22" s="45">
        <f>'Source data'!CA21</f>
        <v>2573</v>
      </c>
      <c r="I22" s="45">
        <f>'Source data'!CO21</f>
        <v>1526</v>
      </c>
      <c r="J22" s="45">
        <f>'Source data'!DC21</f>
        <v>2022</v>
      </c>
      <c r="K22" s="45">
        <f>'Source data'!DQ21</f>
        <v>1642</v>
      </c>
      <c r="L22" s="45"/>
      <c r="M22" s="45"/>
      <c r="O22" s="3">
        <f t="shared" si="0"/>
        <v>2573</v>
      </c>
      <c r="P22" s="3">
        <f t="shared" si="1"/>
        <v>1817.3333333333333</v>
      </c>
      <c r="Q22" s="3">
        <f t="shared" si="2"/>
        <v>1194</v>
      </c>
      <c r="R22" s="3">
        <f t="shared" si="3"/>
        <v>1730</v>
      </c>
      <c r="S22" s="3">
        <f t="shared" si="4"/>
        <v>1832</v>
      </c>
      <c r="T22" s="3">
        <f t="shared" si="5"/>
        <v>1642</v>
      </c>
      <c r="U22" s="26">
        <f t="shared" si="6"/>
        <v>1886.2857142857174</v>
      </c>
    </row>
    <row r="23" spans="2:21">
      <c r="B23" s="24">
        <f>'Source data'!C22</f>
        <v>15</v>
      </c>
      <c r="C23" s="45">
        <f>'Source data'!I22</f>
        <v>2540</v>
      </c>
      <c r="D23" s="45">
        <f>'Source data'!W22</f>
        <v>2436</v>
      </c>
      <c r="E23" s="45">
        <f>'Source data'!AK22</f>
        <v>988</v>
      </c>
      <c r="F23" s="45">
        <f>'Source data'!AY22</f>
        <v>1639</v>
      </c>
      <c r="G23" s="45">
        <f>'Source data'!BM22</f>
        <v>1886</v>
      </c>
      <c r="H23" s="45">
        <f>'Source data'!CA22</f>
        <v>2388</v>
      </c>
      <c r="I23" s="45">
        <f>'Source data'!CO22</f>
        <v>1672</v>
      </c>
      <c r="J23" s="45">
        <f>'Source data'!DC22</f>
        <v>2160</v>
      </c>
      <c r="K23" s="45">
        <f>'Source data'!DQ22</f>
        <v>2066</v>
      </c>
      <c r="L23" s="45"/>
      <c r="M23" s="45"/>
      <c r="O23" s="3">
        <f t="shared" si="0"/>
        <v>2540</v>
      </c>
      <c r="P23" s="3">
        <f t="shared" si="1"/>
        <v>1975</v>
      </c>
      <c r="Q23" s="3">
        <f t="shared" si="2"/>
        <v>988</v>
      </c>
      <c r="R23" s="3">
        <f t="shared" si="3"/>
        <v>1966</v>
      </c>
      <c r="S23" s="3">
        <f t="shared" si="4"/>
        <v>2113</v>
      </c>
      <c r="T23" s="3">
        <f t="shared" si="5"/>
        <v>2066</v>
      </c>
      <c r="U23" s="26">
        <f t="shared" si="6"/>
        <v>2111.75</v>
      </c>
    </row>
    <row r="24" spans="2:21">
      <c r="B24" s="24">
        <f>'Source data'!C23</f>
        <v>16</v>
      </c>
      <c r="C24" s="45">
        <f>'Source data'!I23</f>
        <v>2424</v>
      </c>
      <c r="D24" s="45">
        <f>'Source data'!W23</f>
        <v>2308</v>
      </c>
      <c r="E24" s="45">
        <f>'Source data'!AK23</f>
        <v>1160</v>
      </c>
      <c r="F24" s="45">
        <f>'Source data'!AY23</f>
        <v>1783</v>
      </c>
      <c r="G24" s="45">
        <f>'Source data'!BM23</f>
        <v>1328</v>
      </c>
      <c r="H24" s="45">
        <f>'Source data'!CA23</f>
        <v>2506</v>
      </c>
      <c r="I24" s="45">
        <f>'Source data'!CO23</f>
        <v>1636</v>
      </c>
      <c r="J24" s="45">
        <f>'Source data'!DC23</f>
        <v>1606</v>
      </c>
      <c r="K24" s="45">
        <f>'Source data'!DQ23</f>
        <v>1840</v>
      </c>
      <c r="L24" s="45"/>
      <c r="M24" s="45"/>
      <c r="O24" s="3">
        <f t="shared" si="0"/>
        <v>2506</v>
      </c>
      <c r="P24" s="3">
        <f t="shared" si="1"/>
        <v>1843.4444444444443</v>
      </c>
      <c r="Q24" s="3">
        <f t="shared" si="2"/>
        <v>1160</v>
      </c>
      <c r="R24" s="3">
        <f t="shared" si="3"/>
        <v>1694</v>
      </c>
      <c r="S24" s="3">
        <f t="shared" si="4"/>
        <v>1723</v>
      </c>
      <c r="T24" s="3">
        <f t="shared" si="5"/>
        <v>1840</v>
      </c>
      <c r="U24" s="26">
        <f t="shared" si="6"/>
        <v>1754.3214285714284</v>
      </c>
    </row>
    <row r="25" spans="2:21">
      <c r="B25" s="24">
        <f>'Source data'!C24</f>
        <v>17</v>
      </c>
      <c r="C25" s="45">
        <f>'Source data'!I24</f>
        <v>2320</v>
      </c>
      <c r="D25" s="45">
        <f>'Source data'!W24</f>
        <v>1724</v>
      </c>
      <c r="E25" s="45">
        <f>'Source data'!AK24</f>
        <v>1182</v>
      </c>
      <c r="F25" s="45">
        <f>'Source data'!AY24</f>
        <v>1824</v>
      </c>
      <c r="G25" s="45">
        <f>'Source data'!BM24</f>
        <v>1700</v>
      </c>
      <c r="H25" s="45">
        <f>'Source data'!CA24</f>
        <v>2947</v>
      </c>
      <c r="I25" s="45">
        <f>'Source data'!CO24</f>
        <v>2082</v>
      </c>
      <c r="J25" s="45">
        <f>'Source data'!DC24</f>
        <v>1892</v>
      </c>
      <c r="K25" s="45">
        <f>'Source data'!DQ24</f>
        <v>1786</v>
      </c>
      <c r="L25" s="45"/>
      <c r="M25" s="45"/>
      <c r="O25" s="3">
        <f t="shared" si="0"/>
        <v>2947</v>
      </c>
      <c r="P25" s="3">
        <f t="shared" si="1"/>
        <v>1939.6666666666667</v>
      </c>
      <c r="Q25" s="3">
        <f t="shared" si="2"/>
        <v>1182</v>
      </c>
      <c r="R25" s="3">
        <f t="shared" si="3"/>
        <v>1920</v>
      </c>
      <c r="S25" s="3">
        <f t="shared" si="4"/>
        <v>1839</v>
      </c>
      <c r="T25" s="3">
        <f t="shared" si="5"/>
        <v>1786</v>
      </c>
      <c r="U25" s="26">
        <f t="shared" si="6"/>
        <v>2213.8214285714203</v>
      </c>
    </row>
    <row r="26" spans="2:21">
      <c r="B26" s="24">
        <f>'Source data'!C25</f>
        <v>18</v>
      </c>
      <c r="C26" s="45">
        <f>'Source data'!I25</f>
        <v>2348</v>
      </c>
      <c r="D26" s="45">
        <f>'Source data'!W25</f>
        <v>2132</v>
      </c>
      <c r="E26" s="45">
        <f>'Source data'!AK25</f>
        <v>1126</v>
      </c>
      <c r="F26" s="45">
        <f>'Source data'!AY25</f>
        <v>1736</v>
      </c>
      <c r="G26" s="45">
        <f>'Source data'!BM25</f>
        <v>1694</v>
      </c>
      <c r="H26" s="45">
        <f>'Source data'!CA25</f>
        <v>2289</v>
      </c>
      <c r="I26" s="45">
        <f>'Source data'!CO25</f>
        <v>1418</v>
      </c>
      <c r="J26" s="45">
        <f>'Source data'!DC25</f>
        <v>1832</v>
      </c>
      <c r="K26" s="45">
        <f>'Source data'!DQ25</f>
        <v>1810</v>
      </c>
      <c r="L26" s="45"/>
      <c r="M26" s="45"/>
      <c r="O26" s="3">
        <f t="shared" si="0"/>
        <v>2348</v>
      </c>
      <c r="P26" s="3">
        <f t="shared" si="1"/>
        <v>1820.5555555555557</v>
      </c>
      <c r="Q26" s="3">
        <f t="shared" si="2"/>
        <v>1126</v>
      </c>
      <c r="R26" s="3">
        <f t="shared" si="3"/>
        <v>1686.6666666666667</v>
      </c>
      <c r="S26" s="3">
        <f t="shared" si="4"/>
        <v>1821</v>
      </c>
      <c r="T26" s="3">
        <f t="shared" si="5"/>
        <v>1810</v>
      </c>
      <c r="U26" s="26">
        <f t="shared" si="6"/>
        <v>1803.75</v>
      </c>
    </row>
    <row r="27" spans="2:21">
      <c r="B27" s="24">
        <f>'Source data'!C26</f>
        <v>19</v>
      </c>
      <c r="C27" s="45">
        <f>'Source data'!I26</f>
        <v>2132</v>
      </c>
      <c r="D27" s="45">
        <f>'Source data'!W26</f>
        <v>2668</v>
      </c>
      <c r="E27" s="45">
        <f>'Source data'!AK26</f>
        <v>1080</v>
      </c>
      <c r="F27" s="45">
        <f>'Source data'!AY26</f>
        <v>1719</v>
      </c>
      <c r="G27" s="45">
        <f>'Source data'!BM26</f>
        <v>1648</v>
      </c>
      <c r="H27" s="45">
        <f>'Source data'!CA26</f>
        <v>2530</v>
      </c>
      <c r="I27" s="45">
        <f>'Source data'!CO26</f>
        <v>1726</v>
      </c>
      <c r="J27" s="45">
        <f>'Source data'!DC26</f>
        <v>1736</v>
      </c>
      <c r="K27" s="45">
        <f>'Source data'!DQ26</f>
        <v>1724</v>
      </c>
      <c r="L27" s="45"/>
      <c r="M27" s="45"/>
      <c r="O27" s="3">
        <f t="shared" si="0"/>
        <v>2668</v>
      </c>
      <c r="P27" s="3">
        <f t="shared" si="1"/>
        <v>1884.7777777777778</v>
      </c>
      <c r="Q27" s="3">
        <f t="shared" si="2"/>
        <v>1080</v>
      </c>
      <c r="R27" s="3">
        <f t="shared" si="3"/>
        <v>1728.6666666666667</v>
      </c>
      <c r="S27" s="3">
        <f t="shared" si="4"/>
        <v>1730</v>
      </c>
      <c r="T27" s="3">
        <f t="shared" si="5"/>
        <v>1724</v>
      </c>
      <c r="U27" s="26">
        <f t="shared" si="6"/>
        <v>1723.9642857142826</v>
      </c>
    </row>
    <row r="28" spans="2:21">
      <c r="B28" s="24">
        <f>'Source data'!C27</f>
        <v>20</v>
      </c>
      <c r="C28" s="45">
        <f>'Source data'!I27</f>
        <v>2556</v>
      </c>
      <c r="D28" s="45">
        <f>'Source data'!W27</f>
        <v>2028</v>
      </c>
      <c r="E28" s="45">
        <f>'Source data'!AK27</f>
        <v>1170</v>
      </c>
      <c r="F28" s="45">
        <f>'Source data'!AY27</f>
        <v>1844</v>
      </c>
      <c r="G28" s="45">
        <f>'Source data'!BM27</f>
        <v>1722</v>
      </c>
      <c r="H28" s="45">
        <f>'Source data'!CA27</f>
        <v>2554</v>
      </c>
      <c r="I28" s="45">
        <f>'Source data'!CO27</f>
        <v>1738</v>
      </c>
      <c r="J28" s="45">
        <f>'Source data'!DC27</f>
        <v>1560</v>
      </c>
      <c r="K28" s="45">
        <f>'Source data'!DQ27</f>
        <v>1928</v>
      </c>
      <c r="L28" s="45"/>
      <c r="M28" s="45"/>
      <c r="O28" s="3">
        <f t="shared" si="0"/>
        <v>2556</v>
      </c>
      <c r="P28" s="3">
        <f t="shared" si="1"/>
        <v>1900</v>
      </c>
      <c r="Q28" s="3">
        <f t="shared" si="2"/>
        <v>1170</v>
      </c>
      <c r="R28" s="3">
        <f t="shared" si="3"/>
        <v>1742</v>
      </c>
      <c r="S28" s="3">
        <f t="shared" si="4"/>
        <v>1744</v>
      </c>
      <c r="T28" s="3">
        <f t="shared" si="5"/>
        <v>1928</v>
      </c>
      <c r="U28" s="26">
        <f t="shared" si="6"/>
        <v>1912.5</v>
      </c>
    </row>
    <row r="29" spans="2:21">
      <c r="B29" s="24">
        <f>'Source data'!C28</f>
        <v>21</v>
      </c>
      <c r="C29" s="45">
        <f>'Source data'!I28</f>
        <v>2596</v>
      </c>
      <c r="D29" s="45">
        <f>'Source data'!W28</f>
        <v>2240</v>
      </c>
      <c r="E29" s="45">
        <f>'Source data'!AK28</f>
        <v>1054</v>
      </c>
      <c r="F29" s="45">
        <f>'Source data'!AY28</f>
        <v>1608</v>
      </c>
      <c r="G29" s="45">
        <f>'Source data'!BM28</f>
        <v>1584</v>
      </c>
      <c r="H29" s="45">
        <f>'Source data'!CA28</f>
        <v>2284</v>
      </c>
      <c r="I29" s="45">
        <f>'Source data'!CO28</f>
        <v>1488</v>
      </c>
      <c r="J29" s="45">
        <f>'Source data'!DC28</f>
        <v>1798</v>
      </c>
      <c r="K29" s="45">
        <f>'Source data'!DQ28</f>
        <v>1730</v>
      </c>
      <c r="L29" s="45"/>
      <c r="M29" s="45"/>
      <c r="O29" s="3">
        <f t="shared" si="0"/>
        <v>2596</v>
      </c>
      <c r="P29" s="3">
        <f t="shared" si="1"/>
        <v>1820.2222222222222</v>
      </c>
      <c r="Q29" s="3">
        <f t="shared" si="2"/>
        <v>1054</v>
      </c>
      <c r="R29" s="3">
        <f t="shared" si="3"/>
        <v>1672</v>
      </c>
      <c r="S29" s="3">
        <f t="shared" si="4"/>
        <v>1764</v>
      </c>
      <c r="T29" s="3">
        <f t="shared" si="5"/>
        <v>1730</v>
      </c>
      <c r="U29" s="26">
        <f t="shared" si="6"/>
        <v>1749.5</v>
      </c>
    </row>
    <row r="30" spans="2:21">
      <c r="B30" s="24">
        <f>'Source data'!C29</f>
        <v>22</v>
      </c>
      <c r="C30" s="45">
        <f>'Source data'!I29</f>
        <v>1616</v>
      </c>
      <c r="D30" s="45">
        <f>'Source data'!W29</f>
        <v>1992</v>
      </c>
      <c r="E30" s="45">
        <f>'Source data'!AK29</f>
        <v>778</v>
      </c>
      <c r="F30" s="45">
        <f>'Source data'!AY29</f>
        <v>1114</v>
      </c>
      <c r="G30" s="45">
        <f>'Source data'!BM29</f>
        <v>1162</v>
      </c>
      <c r="H30" s="45">
        <f>'Source data'!CA29</f>
        <v>2310</v>
      </c>
      <c r="I30" s="45">
        <f>'Source data'!CO29</f>
        <v>1534</v>
      </c>
      <c r="J30" s="45">
        <f>'Source data'!DC29</f>
        <v>1604</v>
      </c>
      <c r="K30" s="45">
        <f>'Source data'!DQ29</f>
        <v>1496</v>
      </c>
      <c r="L30" s="45"/>
      <c r="M30" s="45"/>
      <c r="O30" s="3">
        <f t="shared" si="0"/>
        <v>2310</v>
      </c>
      <c r="P30" s="3">
        <f t="shared" si="1"/>
        <v>1511.7777777777778</v>
      </c>
      <c r="Q30" s="3">
        <f t="shared" si="2"/>
        <v>778</v>
      </c>
      <c r="R30" s="3">
        <f t="shared" si="3"/>
        <v>1544.6666666666667</v>
      </c>
      <c r="S30" s="3">
        <f t="shared" si="4"/>
        <v>1550</v>
      </c>
      <c r="T30" s="3">
        <f t="shared" si="5"/>
        <v>1496</v>
      </c>
      <c r="U30" s="26">
        <f t="shared" si="6"/>
        <v>1663</v>
      </c>
    </row>
    <row r="31" spans="2:21">
      <c r="B31" s="24">
        <f>'Source data'!C30</f>
        <v>23</v>
      </c>
      <c r="C31" s="45">
        <f>'Source data'!I30</f>
        <v>1564</v>
      </c>
      <c r="D31" s="45">
        <f>'Source data'!W30</f>
        <v>1696</v>
      </c>
      <c r="E31" s="45">
        <f>'Source data'!AK30</f>
        <v>854</v>
      </c>
      <c r="F31" s="45">
        <f>'Source data'!AY30</f>
        <v>1342</v>
      </c>
      <c r="G31" s="45">
        <f>'Source data'!BM30</f>
        <v>1352</v>
      </c>
      <c r="H31" s="45">
        <f>'Source data'!CA30</f>
        <v>1975</v>
      </c>
      <c r="I31" s="45">
        <f>'Source data'!CO30</f>
        <v>1338</v>
      </c>
      <c r="J31" s="45">
        <f>'Source data'!DC30</f>
        <v>1414</v>
      </c>
      <c r="K31" s="45">
        <f>'Source data'!DQ30</f>
        <v>1394</v>
      </c>
      <c r="L31" s="45"/>
      <c r="M31" s="45"/>
      <c r="O31" s="3">
        <f t="shared" si="0"/>
        <v>1975</v>
      </c>
      <c r="P31" s="3">
        <f t="shared" ref="P31:P48" si="7">AVERAGE(C31:J31)</f>
        <v>1441.875</v>
      </c>
      <c r="Q31" s="3">
        <f t="shared" ref="Q31:Q48" si="8">MIN(C31:J31)</f>
        <v>854</v>
      </c>
      <c r="R31" s="3">
        <f t="shared" ref="R31:R48" si="9">AVERAGE(H31:J31)</f>
        <v>1575.6666666666667</v>
      </c>
      <c r="S31" s="3">
        <f t="shared" ref="S31:S48" si="10">AVERAGE(I31:J31)</f>
        <v>1376</v>
      </c>
      <c r="T31" s="3">
        <f t="shared" ref="T31:T48" si="11">J31</f>
        <v>1414</v>
      </c>
      <c r="U31" s="26">
        <f t="shared" ref="U31:U48" si="12">TREND(D31:J31,$D$8:$J$8,$K$8)</f>
        <v>1532.2857142857174</v>
      </c>
    </row>
    <row r="32" spans="2:21">
      <c r="B32" s="24">
        <f>'Source data'!C31</f>
        <v>24</v>
      </c>
      <c r="C32" s="45">
        <f>'Source data'!I31</f>
        <v>1508</v>
      </c>
      <c r="D32" s="45">
        <f>'Source data'!W31</f>
        <v>1728</v>
      </c>
      <c r="E32" s="45">
        <f>'Source data'!AK31</f>
        <v>876</v>
      </c>
      <c r="F32" s="45">
        <f>'Source data'!AY31</f>
        <v>1291</v>
      </c>
      <c r="G32" s="45">
        <f>'Source data'!BM31</f>
        <v>1110</v>
      </c>
      <c r="H32" s="45">
        <f>'Source data'!CA31</f>
        <v>1846</v>
      </c>
      <c r="I32" s="45">
        <f>'Source data'!CO31</f>
        <v>1254</v>
      </c>
      <c r="J32" s="45">
        <f>'Source data'!DC31</f>
        <v>1382</v>
      </c>
      <c r="K32" s="45">
        <f>'Source data'!DQ31</f>
        <v>1400</v>
      </c>
      <c r="L32" s="45"/>
      <c r="M32" s="45"/>
      <c r="O32" s="3">
        <f t="shared" si="0"/>
        <v>1846</v>
      </c>
      <c r="P32" s="3">
        <f t="shared" si="7"/>
        <v>1374.375</v>
      </c>
      <c r="Q32" s="3">
        <f t="shared" si="8"/>
        <v>876</v>
      </c>
      <c r="R32" s="3">
        <f t="shared" si="9"/>
        <v>1494</v>
      </c>
      <c r="S32" s="3">
        <f t="shared" si="10"/>
        <v>1318</v>
      </c>
      <c r="T32" s="3">
        <f t="shared" si="11"/>
        <v>1382</v>
      </c>
      <c r="U32" s="26">
        <f t="shared" si="12"/>
        <v>1394.2857142857138</v>
      </c>
    </row>
    <row r="33" spans="2:21">
      <c r="B33" s="24">
        <f>'Source data'!C32</f>
        <v>25</v>
      </c>
      <c r="C33" s="45">
        <f>'Source data'!I32</f>
        <v>1712</v>
      </c>
      <c r="D33" s="45">
        <f>'Source data'!W32</f>
        <v>1804</v>
      </c>
      <c r="E33" s="45">
        <f>'Source data'!AK32</f>
        <v>746</v>
      </c>
      <c r="F33" s="45">
        <f>'Source data'!AY32</f>
        <v>1239</v>
      </c>
      <c r="G33" s="45">
        <f>'Source data'!BM32</f>
        <v>1064</v>
      </c>
      <c r="H33" s="45">
        <f>'Source data'!CA32</f>
        <v>1782</v>
      </c>
      <c r="I33" s="45">
        <f>'Source data'!CO32</f>
        <v>1214</v>
      </c>
      <c r="J33" s="45">
        <f>'Source data'!DC32</f>
        <v>1312</v>
      </c>
      <c r="K33" s="45">
        <f>'Source data'!DQ32</f>
        <v>1440</v>
      </c>
      <c r="L33" s="45"/>
      <c r="M33" s="45"/>
      <c r="O33" s="3">
        <f t="shared" si="0"/>
        <v>1804</v>
      </c>
      <c r="P33" s="3">
        <f t="shared" si="7"/>
        <v>1359.125</v>
      </c>
      <c r="Q33" s="3">
        <f t="shared" si="8"/>
        <v>746</v>
      </c>
      <c r="R33" s="3">
        <f t="shared" si="9"/>
        <v>1436</v>
      </c>
      <c r="S33" s="3">
        <f t="shared" si="10"/>
        <v>1263</v>
      </c>
      <c r="T33" s="3">
        <f t="shared" si="11"/>
        <v>1312</v>
      </c>
      <c r="U33" s="26">
        <f t="shared" si="12"/>
        <v>1309.1428571428571</v>
      </c>
    </row>
    <row r="34" spans="2:21">
      <c r="B34" s="24">
        <f>'Source data'!C33</f>
        <v>26</v>
      </c>
      <c r="C34" s="45">
        <f>'Source data'!I33</f>
        <v>1884</v>
      </c>
      <c r="D34" s="45">
        <f>'Source data'!W33</f>
        <v>1820</v>
      </c>
      <c r="E34" s="45">
        <f>'Source data'!AK33</f>
        <v>920</v>
      </c>
      <c r="F34" s="45">
        <f>'Source data'!AY33</f>
        <v>1377</v>
      </c>
      <c r="G34" s="45">
        <f>'Source data'!BM33</f>
        <v>1162</v>
      </c>
      <c r="H34" s="45">
        <f>'Source data'!CA33</f>
        <v>1799</v>
      </c>
      <c r="I34" s="45">
        <f>'Source data'!CO33</f>
        <v>1202</v>
      </c>
      <c r="J34" s="45">
        <f>'Source data'!DC33</f>
        <v>1422</v>
      </c>
      <c r="K34" s="45">
        <f>'Source data'!DQ33</f>
        <v>1494</v>
      </c>
      <c r="L34" s="45"/>
      <c r="M34" s="45"/>
      <c r="O34" s="3">
        <f t="shared" si="0"/>
        <v>1884</v>
      </c>
      <c r="P34" s="3">
        <f t="shared" si="7"/>
        <v>1448.25</v>
      </c>
      <c r="Q34" s="3">
        <f t="shared" si="8"/>
        <v>920</v>
      </c>
      <c r="R34" s="3">
        <f t="shared" si="9"/>
        <v>1474.3333333333333</v>
      </c>
      <c r="S34" s="3">
        <f t="shared" si="10"/>
        <v>1312</v>
      </c>
      <c r="T34" s="3">
        <f t="shared" si="11"/>
        <v>1422</v>
      </c>
      <c r="U34" s="26">
        <f t="shared" si="12"/>
        <v>1356.2857142857156</v>
      </c>
    </row>
    <row r="35" spans="2:21">
      <c r="B35" s="24">
        <f>'Source data'!C34</f>
        <v>27</v>
      </c>
      <c r="C35" s="45">
        <f>'Source data'!I34</f>
        <v>1536</v>
      </c>
      <c r="D35" s="45">
        <f>'Source data'!W34</f>
        <v>2032</v>
      </c>
      <c r="E35" s="45">
        <f>'Source data'!AK34</f>
        <v>892</v>
      </c>
      <c r="F35" s="45">
        <f>'Source data'!AY34</f>
        <v>1408</v>
      </c>
      <c r="G35" s="45">
        <f>'Source data'!BM34</f>
        <v>1152</v>
      </c>
      <c r="H35" s="45">
        <f>'Source data'!CA34</f>
        <v>2008</v>
      </c>
      <c r="I35" s="45">
        <f>'Source data'!CO34</f>
        <v>1364</v>
      </c>
      <c r="J35" s="45">
        <f>'Source data'!DC34</f>
        <v>1388</v>
      </c>
      <c r="K35" s="45">
        <f>'Source data'!DQ34</f>
        <v>1248</v>
      </c>
      <c r="L35" s="45"/>
      <c r="M35" s="45"/>
      <c r="O35" s="3">
        <f t="shared" si="0"/>
        <v>2032</v>
      </c>
      <c r="P35" s="3">
        <f t="shared" si="7"/>
        <v>1472.5</v>
      </c>
      <c r="Q35" s="3">
        <f t="shared" si="8"/>
        <v>892</v>
      </c>
      <c r="R35" s="3">
        <f t="shared" si="9"/>
        <v>1586.6666666666667</v>
      </c>
      <c r="S35" s="3">
        <f t="shared" si="10"/>
        <v>1376</v>
      </c>
      <c r="T35" s="3">
        <f t="shared" si="11"/>
        <v>1388</v>
      </c>
      <c r="U35" s="26">
        <f t="shared" si="12"/>
        <v>1408</v>
      </c>
    </row>
    <row r="36" spans="2:21">
      <c r="B36" s="24">
        <f>'Source data'!C35</f>
        <v>28</v>
      </c>
      <c r="C36" s="45">
        <f>'Source data'!I35</f>
        <v>1812</v>
      </c>
      <c r="D36" s="45">
        <f>'Source data'!W35</f>
        <v>1912</v>
      </c>
      <c r="E36" s="45">
        <f>'Source data'!AK35</f>
        <v>920</v>
      </c>
      <c r="F36" s="45">
        <f>'Source data'!AY35</f>
        <v>1387</v>
      </c>
      <c r="G36" s="45">
        <f>'Source data'!BM35</f>
        <v>1232</v>
      </c>
      <c r="H36" s="45">
        <f>'Source data'!CA35</f>
        <v>1937</v>
      </c>
      <c r="I36" s="45">
        <f>'Source data'!CO35</f>
        <v>1344</v>
      </c>
      <c r="J36" s="45">
        <f>'Source data'!DC35</f>
        <v>1398</v>
      </c>
      <c r="K36" s="45">
        <f>'Source data'!DQ35</f>
        <v>1372</v>
      </c>
      <c r="L36" s="45"/>
      <c r="M36" s="45"/>
      <c r="O36" s="3">
        <f t="shared" si="0"/>
        <v>1937</v>
      </c>
      <c r="P36" s="3">
        <f t="shared" si="7"/>
        <v>1492.75</v>
      </c>
      <c r="Q36" s="3">
        <f t="shared" si="8"/>
        <v>920</v>
      </c>
      <c r="R36" s="3">
        <f t="shared" si="9"/>
        <v>1559.6666666666667</v>
      </c>
      <c r="S36" s="3">
        <f t="shared" si="10"/>
        <v>1371</v>
      </c>
      <c r="T36" s="3">
        <f t="shared" si="11"/>
        <v>1398</v>
      </c>
      <c r="U36" s="26">
        <f t="shared" si="12"/>
        <v>1426.5714285714275</v>
      </c>
    </row>
    <row r="37" spans="2:21">
      <c r="B37" s="24">
        <f>'Source data'!C36</f>
        <v>29</v>
      </c>
      <c r="C37" s="45">
        <f>'Source data'!I36</f>
        <v>1688</v>
      </c>
      <c r="D37" s="45">
        <f>'Source data'!W36</f>
        <v>1768</v>
      </c>
      <c r="E37" s="45">
        <f>'Source data'!AK36</f>
        <v>936</v>
      </c>
      <c r="F37" s="45">
        <f>'Source data'!AY36</f>
        <v>1396</v>
      </c>
      <c r="G37" s="45">
        <f>'Source data'!BM36</f>
        <v>1116</v>
      </c>
      <c r="H37" s="45">
        <f>'Source data'!CA36</f>
        <v>1941</v>
      </c>
      <c r="I37" s="45">
        <f>'Source data'!CO36</f>
        <v>1332</v>
      </c>
      <c r="J37" s="45">
        <f>'Source data'!DC36</f>
        <v>1340</v>
      </c>
      <c r="K37" s="45">
        <f>'Source data'!DQ36</f>
        <v>1400</v>
      </c>
      <c r="L37" s="45"/>
      <c r="M37" s="45"/>
      <c r="O37" s="3">
        <f t="shared" si="0"/>
        <v>1941</v>
      </c>
      <c r="P37" s="3">
        <f t="shared" si="7"/>
        <v>1439.625</v>
      </c>
      <c r="Q37" s="3">
        <f t="shared" si="8"/>
        <v>936</v>
      </c>
      <c r="R37" s="3">
        <f t="shared" si="9"/>
        <v>1537.6666666666667</v>
      </c>
      <c r="S37" s="3">
        <f t="shared" si="10"/>
        <v>1336</v>
      </c>
      <c r="T37" s="3">
        <f t="shared" si="11"/>
        <v>1340</v>
      </c>
      <c r="U37" s="26">
        <f t="shared" si="12"/>
        <v>1411.7142857142858</v>
      </c>
    </row>
    <row r="38" spans="2:21">
      <c r="B38" s="24">
        <f>'Source data'!C37</f>
        <v>30</v>
      </c>
      <c r="C38" s="45">
        <f>'Source data'!I37</f>
        <v>1704</v>
      </c>
      <c r="D38" s="45">
        <f>'Source data'!W37</f>
        <v>1776</v>
      </c>
      <c r="E38" s="45">
        <f>'Source data'!AK37</f>
        <v>1000</v>
      </c>
      <c r="F38" s="45">
        <f>'Source data'!AY37</f>
        <v>1496</v>
      </c>
      <c r="G38" s="45">
        <f>'Source data'!BM37</f>
        <v>1180</v>
      </c>
      <c r="H38" s="45">
        <f>'Source data'!CA37</f>
        <v>1933</v>
      </c>
      <c r="I38" s="45">
        <f>'Source data'!CO37</f>
        <v>1384</v>
      </c>
      <c r="J38" s="45">
        <f>'Source data'!DC37</f>
        <v>1342</v>
      </c>
      <c r="K38" s="45">
        <f>'Source data'!DQ37</f>
        <v>1286</v>
      </c>
      <c r="L38" s="45"/>
      <c r="M38" s="45"/>
      <c r="O38" s="3">
        <f t="shared" si="0"/>
        <v>1933</v>
      </c>
      <c r="P38" s="3">
        <f t="shared" si="7"/>
        <v>1476.875</v>
      </c>
      <c r="Q38" s="3">
        <f t="shared" si="8"/>
        <v>1000</v>
      </c>
      <c r="R38" s="3">
        <f t="shared" si="9"/>
        <v>1553</v>
      </c>
      <c r="S38" s="3">
        <f t="shared" si="10"/>
        <v>1363</v>
      </c>
      <c r="T38" s="3">
        <f t="shared" si="11"/>
        <v>1342</v>
      </c>
      <c r="U38" s="26">
        <f t="shared" si="12"/>
        <v>1430.5714285714275</v>
      </c>
    </row>
    <row r="39" spans="2:21">
      <c r="B39" s="24">
        <f>'Source data'!C38</f>
        <v>31</v>
      </c>
      <c r="C39" s="45">
        <f>'Source data'!I38</f>
        <v>1936</v>
      </c>
      <c r="D39" s="45">
        <f>'Source data'!W38</f>
        <v>2008</v>
      </c>
      <c r="E39" s="45">
        <f>'Source data'!AK38</f>
        <v>868</v>
      </c>
      <c r="F39" s="45">
        <f>'Source data'!AY38</f>
        <v>1380</v>
      </c>
      <c r="G39" s="45">
        <f>'Source data'!BM38</f>
        <v>1222</v>
      </c>
      <c r="H39" s="45">
        <f>'Source data'!CA38</f>
        <v>1815</v>
      </c>
      <c r="I39" s="45">
        <f>'Source data'!CO38</f>
        <v>1224</v>
      </c>
      <c r="J39" s="45">
        <f>'Source data'!DC38</f>
        <v>1150</v>
      </c>
      <c r="K39" s="45">
        <f>'Source data'!DQ38</f>
        <v>0</v>
      </c>
      <c r="L39" s="45"/>
      <c r="M39" s="45"/>
      <c r="O39" s="3">
        <f t="shared" si="0"/>
        <v>2008</v>
      </c>
      <c r="P39" s="3">
        <f t="shared" si="7"/>
        <v>1450.375</v>
      </c>
      <c r="Q39" s="3">
        <f t="shared" si="8"/>
        <v>868</v>
      </c>
      <c r="R39" s="3">
        <f t="shared" si="9"/>
        <v>1396.3333333333333</v>
      </c>
      <c r="S39" s="3">
        <f t="shared" si="10"/>
        <v>1187</v>
      </c>
      <c r="T39" s="3">
        <f t="shared" si="11"/>
        <v>1150</v>
      </c>
      <c r="U39" s="26">
        <f t="shared" si="12"/>
        <v>1177.1428571428551</v>
      </c>
    </row>
    <row r="40" spans="2:21">
      <c r="B40" s="24">
        <f>'Source data'!C39</f>
        <v>32</v>
      </c>
      <c r="C40" s="45">
        <f>'Source data'!I39</f>
        <v>1560</v>
      </c>
      <c r="D40" s="45">
        <f>'Source data'!W39</f>
        <v>1560</v>
      </c>
      <c r="E40" s="45">
        <f>'Source data'!AK39</f>
        <v>1048</v>
      </c>
      <c r="F40" s="45">
        <f>'Source data'!AY39</f>
        <v>1490</v>
      </c>
      <c r="G40" s="45">
        <f>'Source data'!BM39</f>
        <v>1196</v>
      </c>
      <c r="H40" s="45">
        <f>'Source data'!CA39</f>
        <v>1768</v>
      </c>
      <c r="I40" s="45">
        <f>'Source data'!CO39</f>
        <v>1170</v>
      </c>
      <c r="J40" s="45">
        <f>'Source data'!DC39</f>
        <v>1276</v>
      </c>
      <c r="K40" s="45">
        <f>'Source data'!DQ39</f>
        <v>0</v>
      </c>
      <c r="L40" s="45"/>
      <c r="M40" s="45"/>
      <c r="O40" s="3">
        <f t="shared" si="0"/>
        <v>1768</v>
      </c>
      <c r="P40" s="3">
        <f t="shared" si="7"/>
        <v>1383.5</v>
      </c>
      <c r="Q40" s="3">
        <f t="shared" si="8"/>
        <v>1048</v>
      </c>
      <c r="R40" s="3">
        <f t="shared" si="9"/>
        <v>1404.6666666666667</v>
      </c>
      <c r="S40" s="3">
        <f t="shared" si="10"/>
        <v>1223</v>
      </c>
      <c r="T40" s="3">
        <f t="shared" si="11"/>
        <v>1276</v>
      </c>
      <c r="U40" s="26">
        <f t="shared" si="12"/>
        <v>1311.1428571428551</v>
      </c>
    </row>
    <row r="41" spans="2:21">
      <c r="B41" s="24">
        <f>'Source data'!C40</f>
        <v>33</v>
      </c>
      <c r="C41" s="45">
        <f>'Source data'!I40</f>
        <v>1424</v>
      </c>
      <c r="D41" s="45">
        <f>'Source data'!W40</f>
        <v>1768</v>
      </c>
      <c r="E41" s="45">
        <f>'Source data'!AK40</f>
        <v>1102</v>
      </c>
      <c r="F41" s="45">
        <f>'Source data'!AY40</f>
        <v>1531</v>
      </c>
      <c r="G41" s="45">
        <f>'Source data'!BM40</f>
        <v>1392</v>
      </c>
      <c r="H41" s="45">
        <f>'Source data'!CA40</f>
        <v>2035</v>
      </c>
      <c r="I41" s="45">
        <f>'Source data'!CO40</f>
        <v>1314</v>
      </c>
      <c r="J41" s="45">
        <f>'Source data'!DC40</f>
        <v>1252</v>
      </c>
      <c r="K41" s="45">
        <f>'Source data'!DQ40</f>
        <v>0</v>
      </c>
      <c r="L41" s="45"/>
      <c r="M41" s="45"/>
      <c r="O41" s="3">
        <f t="shared" si="0"/>
        <v>2035</v>
      </c>
      <c r="P41" s="3">
        <f t="shared" si="7"/>
        <v>1477.25</v>
      </c>
      <c r="Q41" s="3">
        <f t="shared" si="8"/>
        <v>1102</v>
      </c>
      <c r="R41" s="3">
        <f t="shared" si="9"/>
        <v>1533.6666666666667</v>
      </c>
      <c r="S41" s="3">
        <f t="shared" si="10"/>
        <v>1283</v>
      </c>
      <c r="T41" s="3">
        <f t="shared" si="11"/>
        <v>1252</v>
      </c>
      <c r="U41" s="26">
        <f t="shared" si="12"/>
        <v>1396.2857142857174</v>
      </c>
    </row>
    <row r="42" spans="2:21">
      <c r="B42" s="24">
        <f>'Source data'!C41</f>
        <v>34</v>
      </c>
      <c r="C42" s="45">
        <f>'Source data'!I41</f>
        <v>2308</v>
      </c>
      <c r="D42" s="45">
        <f>'Source data'!W41</f>
        <v>2052</v>
      </c>
      <c r="E42" s="45">
        <f>'Source data'!AK41</f>
        <v>1504</v>
      </c>
      <c r="F42" s="45">
        <f>'Source data'!AY41</f>
        <v>2294</v>
      </c>
      <c r="G42" s="45">
        <f>'Source data'!BM41</f>
        <v>1742</v>
      </c>
      <c r="H42" s="45">
        <f>'Source data'!CA41</f>
        <v>2498</v>
      </c>
      <c r="I42" s="45">
        <f>'Source data'!CO41</f>
        <v>1584</v>
      </c>
      <c r="J42" s="45">
        <f>'Source data'!DC41</f>
        <v>1474</v>
      </c>
      <c r="K42" s="45">
        <f>'Source data'!DQ41</f>
        <v>0</v>
      </c>
      <c r="L42" s="45"/>
      <c r="M42" s="45"/>
      <c r="O42" s="3">
        <f t="shared" si="0"/>
        <v>2498</v>
      </c>
      <c r="P42" s="3">
        <f t="shared" si="7"/>
        <v>1932</v>
      </c>
      <c r="Q42" s="3">
        <f t="shared" si="8"/>
        <v>1474</v>
      </c>
      <c r="R42" s="3">
        <f t="shared" si="9"/>
        <v>1852</v>
      </c>
      <c r="S42" s="3">
        <f t="shared" si="10"/>
        <v>1529</v>
      </c>
      <c r="T42" s="3">
        <f t="shared" si="11"/>
        <v>1474</v>
      </c>
      <c r="U42" s="26">
        <f t="shared" si="12"/>
        <v>1682.5714285714203</v>
      </c>
    </row>
    <row r="43" spans="2:21">
      <c r="B43" s="24">
        <f>'Source data'!C42</f>
        <v>35</v>
      </c>
      <c r="C43" s="45">
        <f>'Source data'!I42</f>
        <v>2584</v>
      </c>
      <c r="D43" s="45">
        <f>'Source data'!W42</f>
        <v>2592</v>
      </c>
      <c r="E43" s="45">
        <f>'Source data'!AK42</f>
        <v>1390</v>
      </c>
      <c r="F43" s="45">
        <f>'Source data'!AY42</f>
        <v>2175</v>
      </c>
      <c r="G43" s="45">
        <f>'Source data'!BM42</f>
        <v>1948</v>
      </c>
      <c r="H43" s="45">
        <f>'Source data'!CA42</f>
        <v>2998</v>
      </c>
      <c r="I43" s="45">
        <f>'Source data'!CO42</f>
        <v>2028</v>
      </c>
      <c r="J43" s="45">
        <f>'Source data'!DC42</f>
        <v>1900</v>
      </c>
      <c r="K43" s="45">
        <f>'Source data'!DQ42</f>
        <v>0</v>
      </c>
      <c r="L43" s="45"/>
      <c r="M43" s="45"/>
      <c r="O43" s="3">
        <f t="shared" si="0"/>
        <v>2998</v>
      </c>
      <c r="P43" s="3">
        <f t="shared" si="7"/>
        <v>2201.875</v>
      </c>
      <c r="Q43" s="3">
        <f t="shared" si="8"/>
        <v>1390</v>
      </c>
      <c r="R43" s="3">
        <f t="shared" si="9"/>
        <v>2308.6666666666665</v>
      </c>
      <c r="S43" s="3">
        <f t="shared" si="10"/>
        <v>1964</v>
      </c>
      <c r="T43" s="3">
        <f t="shared" si="11"/>
        <v>1900</v>
      </c>
      <c r="U43" s="26">
        <f t="shared" si="12"/>
        <v>2150.5714285714284</v>
      </c>
    </row>
    <row r="44" spans="2:21">
      <c r="B44" s="24">
        <f>'Source data'!C43</f>
        <v>36</v>
      </c>
      <c r="C44" s="45">
        <f>'Source data'!I43</f>
        <v>2352</v>
      </c>
      <c r="D44" s="45">
        <f>'Source data'!W43</f>
        <v>2452</v>
      </c>
      <c r="E44" s="45">
        <f>'Source data'!AK43</f>
        <v>1384</v>
      </c>
      <c r="F44" s="45">
        <f>'Source data'!AY43</f>
        <v>2167</v>
      </c>
      <c r="G44" s="45">
        <f>'Source data'!BM43</f>
        <v>1774</v>
      </c>
      <c r="H44" s="45">
        <f>'Source data'!CA43</f>
        <v>2847</v>
      </c>
      <c r="I44" s="45">
        <f>'Source data'!CO43</f>
        <v>1938</v>
      </c>
      <c r="J44" s="45">
        <f>'Source data'!DC43</f>
        <v>2184</v>
      </c>
      <c r="K44" s="45">
        <f>'Source data'!DQ43</f>
        <v>0</v>
      </c>
      <c r="L44" s="45"/>
      <c r="M44" s="45"/>
      <c r="O44" s="3">
        <f t="shared" si="0"/>
        <v>2847</v>
      </c>
      <c r="P44" s="3">
        <f t="shared" si="7"/>
        <v>2137.25</v>
      </c>
      <c r="Q44" s="3">
        <f t="shared" si="8"/>
        <v>1384</v>
      </c>
      <c r="R44" s="3">
        <f t="shared" si="9"/>
        <v>2323</v>
      </c>
      <c r="S44" s="3">
        <f t="shared" si="10"/>
        <v>2061</v>
      </c>
      <c r="T44" s="3">
        <f t="shared" si="11"/>
        <v>2184</v>
      </c>
      <c r="U44" s="26">
        <f t="shared" si="12"/>
        <v>2247.1428571428696</v>
      </c>
    </row>
    <row r="45" spans="2:21">
      <c r="B45" s="24">
        <f>'Source data'!C44</f>
        <v>37</v>
      </c>
      <c r="C45" s="45">
        <f>'Source data'!I44</f>
        <v>2508</v>
      </c>
      <c r="D45" s="45">
        <f>'Source data'!W44</f>
        <v>2520</v>
      </c>
      <c r="E45" s="45">
        <f>'Source data'!AK44</f>
        <v>1494</v>
      </c>
      <c r="F45" s="45">
        <f>'Source data'!AY44</f>
        <v>2257</v>
      </c>
      <c r="G45" s="45">
        <f>'Source data'!BM44</f>
        <v>1952</v>
      </c>
      <c r="H45" s="45">
        <f>'Source data'!CA44</f>
        <v>3006</v>
      </c>
      <c r="I45" s="45">
        <f>'Source data'!CO44</f>
        <v>2028</v>
      </c>
      <c r="J45" s="45">
        <f>'Source data'!DC44</f>
        <v>2306</v>
      </c>
      <c r="K45" s="45">
        <f>'Source data'!DQ44</f>
        <v>0</v>
      </c>
      <c r="L45" s="45"/>
      <c r="M45" s="45"/>
      <c r="O45" s="3">
        <f t="shared" si="0"/>
        <v>3006</v>
      </c>
      <c r="P45" s="3">
        <f t="shared" si="7"/>
        <v>2258.875</v>
      </c>
      <c r="Q45" s="3">
        <f t="shared" si="8"/>
        <v>1494</v>
      </c>
      <c r="R45" s="3">
        <f t="shared" si="9"/>
        <v>2446.6666666666665</v>
      </c>
      <c r="S45" s="3">
        <f t="shared" si="10"/>
        <v>2167</v>
      </c>
      <c r="T45" s="3">
        <f t="shared" si="11"/>
        <v>2306</v>
      </c>
      <c r="U45" s="26">
        <f t="shared" si="12"/>
        <v>2391.1428571428551</v>
      </c>
    </row>
    <row r="46" spans="2:21">
      <c r="B46" s="24">
        <f>'Source data'!C45</f>
        <v>38</v>
      </c>
      <c r="C46" s="45">
        <f>'Source data'!I45</f>
        <v>2544</v>
      </c>
      <c r="D46" s="45">
        <f>'Source data'!W45</f>
        <v>2596</v>
      </c>
      <c r="E46" s="45">
        <f>'Source data'!AK45</f>
        <v>1302</v>
      </c>
      <c r="F46" s="45">
        <f>'Source data'!AY45</f>
        <v>2011</v>
      </c>
      <c r="G46" s="45">
        <f>'Source data'!BM45</f>
        <v>1670</v>
      </c>
      <c r="H46" s="45">
        <f>'Source data'!CA45</f>
        <v>2761</v>
      </c>
      <c r="I46" s="45">
        <f>'Source data'!CO45</f>
        <v>1880</v>
      </c>
      <c r="J46" s="45">
        <f>'Source data'!DC45</f>
        <v>2198</v>
      </c>
      <c r="K46" s="45">
        <f>'Source data'!DQ45</f>
        <v>0</v>
      </c>
      <c r="L46" s="45"/>
      <c r="M46" s="45"/>
      <c r="O46" s="3">
        <f t="shared" si="0"/>
        <v>2761</v>
      </c>
      <c r="P46" s="3">
        <f t="shared" si="7"/>
        <v>2120.25</v>
      </c>
      <c r="Q46" s="3">
        <f t="shared" si="8"/>
        <v>1302</v>
      </c>
      <c r="R46" s="3">
        <f t="shared" si="9"/>
        <v>2279.6666666666665</v>
      </c>
      <c r="S46" s="3">
        <f t="shared" si="10"/>
        <v>2039</v>
      </c>
      <c r="T46" s="3">
        <f t="shared" si="11"/>
        <v>2198</v>
      </c>
      <c r="U46" s="26">
        <f t="shared" si="12"/>
        <v>2161.4285714285725</v>
      </c>
    </row>
    <row r="47" spans="2:21">
      <c r="B47" s="24">
        <f>'Source data'!C46</f>
        <v>39</v>
      </c>
      <c r="C47" s="45">
        <f>'Source data'!I46</f>
        <v>2684</v>
      </c>
      <c r="D47" s="45">
        <f>'Source data'!W46</f>
        <v>2320</v>
      </c>
      <c r="E47" s="45">
        <f>'Source data'!AK46</f>
        <v>1340</v>
      </c>
      <c r="F47" s="45">
        <f>'Source data'!AY46</f>
        <v>2002</v>
      </c>
      <c r="G47" s="45">
        <f>'Source data'!BM46</f>
        <v>1742</v>
      </c>
      <c r="H47" s="45">
        <f>'Source data'!CA46</f>
        <v>2580</v>
      </c>
      <c r="I47" s="45">
        <f>'Source data'!CO46</f>
        <v>1734</v>
      </c>
      <c r="J47" s="45">
        <f>'Source data'!DC46</f>
        <v>2010</v>
      </c>
      <c r="K47" s="45">
        <f>'Source data'!DQ46</f>
        <v>0</v>
      </c>
      <c r="L47" s="45"/>
      <c r="M47" s="45"/>
      <c r="O47" s="3">
        <f t="shared" si="0"/>
        <v>2684</v>
      </c>
      <c r="P47" s="3">
        <f t="shared" si="7"/>
        <v>2051.5</v>
      </c>
      <c r="Q47" s="3">
        <f t="shared" si="8"/>
        <v>1340</v>
      </c>
      <c r="R47" s="3">
        <f t="shared" si="9"/>
        <v>2108</v>
      </c>
      <c r="S47" s="3">
        <f t="shared" si="10"/>
        <v>1872</v>
      </c>
      <c r="T47" s="3">
        <f t="shared" si="11"/>
        <v>2010</v>
      </c>
      <c r="U47" s="26">
        <f t="shared" si="12"/>
        <v>2023.4285714285725</v>
      </c>
    </row>
    <row r="48" spans="2:21">
      <c r="B48" s="24">
        <f>'Source data'!C47</f>
        <v>40</v>
      </c>
      <c r="C48" s="45">
        <f>'Source data'!I47</f>
        <v>2600</v>
      </c>
      <c r="D48" s="45">
        <f>'Source data'!W47</f>
        <v>2596</v>
      </c>
      <c r="E48" s="45">
        <f>'Source data'!AK47</f>
        <v>1460</v>
      </c>
      <c r="F48" s="45">
        <f>'Source data'!AY47</f>
        <v>2197</v>
      </c>
      <c r="G48" s="45">
        <f>'Source data'!BM47</f>
        <v>1580</v>
      </c>
      <c r="H48" s="45">
        <f>'Source data'!CA47</f>
        <v>2562</v>
      </c>
      <c r="I48" s="45">
        <f>'Source data'!CO47</f>
        <v>1694</v>
      </c>
      <c r="J48" s="45">
        <f>'Source data'!DC47</f>
        <v>2094</v>
      </c>
      <c r="K48" s="45">
        <f>'Source data'!DQ47</f>
        <v>0</v>
      </c>
      <c r="L48" s="45"/>
      <c r="M48" s="45"/>
      <c r="O48" s="3">
        <f t="shared" si="0"/>
        <v>2600</v>
      </c>
      <c r="P48" s="3">
        <f t="shared" si="7"/>
        <v>2097.875</v>
      </c>
      <c r="Q48" s="3">
        <f t="shared" si="8"/>
        <v>1460</v>
      </c>
      <c r="R48" s="3">
        <f t="shared" si="9"/>
        <v>2116.6666666666665</v>
      </c>
      <c r="S48" s="3">
        <f t="shared" si="10"/>
        <v>1894</v>
      </c>
      <c r="T48" s="3">
        <f t="shared" si="11"/>
        <v>2094</v>
      </c>
      <c r="U48" s="26">
        <f t="shared" si="12"/>
        <v>1930</v>
      </c>
    </row>
    <row r="49" spans="2:21">
      <c r="B49" s="24">
        <f>'Source data'!C48</f>
        <v>41</v>
      </c>
      <c r="C49" s="45">
        <f>'Source data'!I48</f>
        <v>2656</v>
      </c>
      <c r="D49" s="45">
        <f>'Source data'!W48</f>
        <v>2272</v>
      </c>
      <c r="E49" s="45">
        <f>'Source data'!AK48</f>
        <v>1364</v>
      </c>
      <c r="F49" s="45">
        <f>'Source data'!AY48</f>
        <v>2198</v>
      </c>
      <c r="G49" s="45">
        <f>'Source data'!BM48</f>
        <v>1864</v>
      </c>
      <c r="H49" s="45">
        <f>'Source data'!CA48</f>
        <v>2572</v>
      </c>
      <c r="I49" s="45">
        <f>'Source data'!CO48</f>
        <v>1660</v>
      </c>
      <c r="J49" s="45">
        <f>'Source data'!DC48</f>
        <v>1932</v>
      </c>
      <c r="K49" s="45">
        <f>'Source data'!DQ48</f>
        <v>0</v>
      </c>
      <c r="L49" s="45"/>
      <c r="M49" s="45"/>
      <c r="O49" s="3">
        <f t="shared" si="0"/>
        <v>2656</v>
      </c>
      <c r="P49" s="3">
        <f t="shared" ref="P49:P60" si="13">AVERAGE(C49:I49)</f>
        <v>2083.7142857142858</v>
      </c>
      <c r="Q49" s="3">
        <f t="shared" ref="Q49:Q60" si="14">MIN(C49:I49)</f>
        <v>1364</v>
      </c>
      <c r="R49" s="3">
        <f t="shared" ref="R49:R60" si="15">AVERAGE(G49:I49)</f>
        <v>2032</v>
      </c>
      <c r="S49" s="3">
        <f t="shared" ref="S49:S60" si="16">AVERAGE(H49:I49)</f>
        <v>2116</v>
      </c>
      <c r="T49" s="3">
        <f t="shared" ref="T49:T60" si="17">I49</f>
        <v>1660</v>
      </c>
      <c r="U49" s="26">
        <f t="shared" ref="U49:U60" si="18">TREND(D49:I49,$D$8:$I$8,$K$8)</f>
        <v>2017.9047619047633</v>
      </c>
    </row>
    <row r="50" spans="2:21">
      <c r="B50" s="24">
        <f>'Source data'!C49</f>
        <v>42</v>
      </c>
      <c r="C50" s="45">
        <f>'Source data'!I49</f>
        <v>2628</v>
      </c>
      <c r="D50" s="45">
        <f>'Source data'!W49</f>
        <v>2184</v>
      </c>
      <c r="E50" s="45">
        <f>'Source data'!AK49</f>
        <v>1252</v>
      </c>
      <c r="F50" s="45">
        <f>'Source data'!AY49</f>
        <v>1958</v>
      </c>
      <c r="G50" s="45">
        <f>'Source data'!BM49</f>
        <v>1580</v>
      </c>
      <c r="H50" s="45">
        <f>'Source data'!CA49</f>
        <v>2700</v>
      </c>
      <c r="I50" s="45">
        <f>'Source data'!CO49</f>
        <v>1828</v>
      </c>
      <c r="J50" s="45">
        <f>'Source data'!DC49</f>
        <v>1858</v>
      </c>
      <c r="K50" s="45">
        <f>'Source data'!DQ49</f>
        <v>0</v>
      </c>
      <c r="L50" s="45"/>
      <c r="M50" s="45"/>
      <c r="O50" s="3">
        <f t="shared" si="0"/>
        <v>2700</v>
      </c>
      <c r="P50" s="3">
        <f t="shared" si="13"/>
        <v>2018.5714285714287</v>
      </c>
      <c r="Q50" s="3">
        <f t="shared" si="14"/>
        <v>1252</v>
      </c>
      <c r="R50" s="3">
        <f t="shared" si="15"/>
        <v>2036</v>
      </c>
      <c r="S50" s="3">
        <f t="shared" si="16"/>
        <v>2264</v>
      </c>
      <c r="T50" s="3">
        <f t="shared" si="17"/>
        <v>1828</v>
      </c>
      <c r="U50" s="26">
        <f t="shared" si="18"/>
        <v>2198.057142857142</v>
      </c>
    </row>
    <row r="51" spans="2:21">
      <c r="B51" s="24">
        <f>'Source data'!C50</f>
        <v>43</v>
      </c>
      <c r="C51" s="45">
        <f>'Source data'!I50</f>
        <v>2500</v>
      </c>
      <c r="D51" s="45">
        <f>'Source data'!W50</f>
        <v>2516</v>
      </c>
      <c r="E51" s="45">
        <f>'Source data'!AK50</f>
        <v>1462</v>
      </c>
      <c r="F51" s="45">
        <f>'Source data'!AY50</f>
        <v>2161</v>
      </c>
      <c r="G51" s="45">
        <f>'Source data'!BM50</f>
        <v>1710</v>
      </c>
      <c r="H51" s="45">
        <f>'Source data'!CA50</f>
        <v>2473</v>
      </c>
      <c r="I51" s="45">
        <f>'Source data'!CO50</f>
        <v>1634</v>
      </c>
      <c r="J51" s="45">
        <f>'Source data'!DC50</f>
        <v>1870</v>
      </c>
      <c r="K51" s="45">
        <f>'Source data'!DQ50</f>
        <v>0</v>
      </c>
      <c r="L51" s="45"/>
      <c r="M51" s="45"/>
      <c r="O51" s="3">
        <f t="shared" si="0"/>
        <v>2516</v>
      </c>
      <c r="P51" s="3">
        <f t="shared" si="13"/>
        <v>2065.1428571428573</v>
      </c>
      <c r="Q51" s="3">
        <f t="shared" si="14"/>
        <v>1462</v>
      </c>
      <c r="R51" s="3">
        <f t="shared" si="15"/>
        <v>1939</v>
      </c>
      <c r="S51" s="3">
        <f t="shared" si="16"/>
        <v>2053.5</v>
      </c>
      <c r="T51" s="3">
        <f t="shared" si="17"/>
        <v>1634</v>
      </c>
      <c r="U51" s="26">
        <f t="shared" si="18"/>
        <v>1757.6380952381005</v>
      </c>
    </row>
    <row r="52" spans="2:21">
      <c r="B52" s="24">
        <f>'Source data'!C51</f>
        <v>44</v>
      </c>
      <c r="C52" s="45">
        <f>'Source data'!I51</f>
        <v>2608</v>
      </c>
      <c r="D52" s="45">
        <f>'Source data'!W51</f>
        <v>2744</v>
      </c>
      <c r="E52" s="45">
        <f>'Source data'!AK51</f>
        <v>1258</v>
      </c>
      <c r="F52" s="45">
        <f>'Source data'!AY51</f>
        <v>2069</v>
      </c>
      <c r="G52" s="45">
        <f>'Source data'!BM51</f>
        <v>1688</v>
      </c>
      <c r="H52" s="45">
        <f>'Source data'!CA51</f>
        <v>2627</v>
      </c>
      <c r="I52" s="45">
        <f>'Source data'!CO51</f>
        <v>1698</v>
      </c>
      <c r="J52" s="45">
        <f>'Source data'!DC51</f>
        <v>2008</v>
      </c>
      <c r="K52" s="45">
        <f>'Source data'!DQ51</f>
        <v>0</v>
      </c>
      <c r="L52" s="45"/>
      <c r="M52" s="45"/>
      <c r="O52" s="3">
        <f t="shared" si="0"/>
        <v>2744</v>
      </c>
      <c r="P52" s="3">
        <f t="shared" si="13"/>
        <v>2098.8571428571427</v>
      </c>
      <c r="Q52" s="3">
        <f t="shared" si="14"/>
        <v>1258</v>
      </c>
      <c r="R52" s="3">
        <f t="shared" si="15"/>
        <v>2004.3333333333333</v>
      </c>
      <c r="S52" s="3">
        <f t="shared" si="16"/>
        <v>2162.5</v>
      </c>
      <c r="T52" s="3">
        <f t="shared" si="17"/>
        <v>1698</v>
      </c>
      <c r="U52" s="26">
        <f t="shared" si="18"/>
        <v>1820.6285714285768</v>
      </c>
    </row>
    <row r="53" spans="2:21">
      <c r="B53" s="24">
        <f>'Source data'!C52</f>
        <v>45</v>
      </c>
      <c r="C53" s="45">
        <f>'Source data'!I52</f>
        <v>2448</v>
      </c>
      <c r="D53" s="45">
        <f>'Source data'!W52</f>
        <v>1916</v>
      </c>
      <c r="E53" s="45">
        <f>'Source data'!AK52</f>
        <v>1578</v>
      </c>
      <c r="F53" s="45">
        <f>'Source data'!AY52</f>
        <v>2330</v>
      </c>
      <c r="G53" s="45">
        <f>'Source data'!BM52</f>
        <v>1732</v>
      </c>
      <c r="H53" s="45">
        <f>'Source data'!CA52</f>
        <v>2682</v>
      </c>
      <c r="I53" s="45">
        <f>'Source data'!CO52</f>
        <v>1874</v>
      </c>
      <c r="J53" s="45">
        <f>'Source data'!DC52</f>
        <v>1798</v>
      </c>
      <c r="K53" s="45">
        <f>'Source data'!DQ52</f>
        <v>0</v>
      </c>
      <c r="L53" s="45"/>
      <c r="M53" s="45"/>
      <c r="O53" s="3">
        <f t="shared" si="0"/>
        <v>2682</v>
      </c>
      <c r="P53" s="3">
        <f t="shared" si="13"/>
        <v>2080</v>
      </c>
      <c r="Q53" s="3">
        <f t="shared" si="14"/>
        <v>1578</v>
      </c>
      <c r="R53" s="3">
        <f t="shared" si="15"/>
        <v>2096</v>
      </c>
      <c r="S53" s="3">
        <f t="shared" si="16"/>
        <v>2278</v>
      </c>
      <c r="T53" s="3">
        <f t="shared" si="17"/>
        <v>1874</v>
      </c>
      <c r="U53" s="26">
        <f t="shared" si="18"/>
        <v>2340.6095238095149</v>
      </c>
    </row>
    <row r="54" spans="2:21">
      <c r="B54" s="24">
        <f>'Source data'!C53</f>
        <v>46</v>
      </c>
      <c r="C54" s="45">
        <f>'Source data'!I53</f>
        <v>2448</v>
      </c>
      <c r="D54" s="45">
        <f>'Source data'!W53</f>
        <v>2396</v>
      </c>
      <c r="E54" s="45">
        <f>'Source data'!AK53</f>
        <v>1236</v>
      </c>
      <c r="F54" s="45">
        <f>'Source data'!AY53</f>
        <v>1855</v>
      </c>
      <c r="G54" s="45">
        <f>'Source data'!BM53</f>
        <v>1672</v>
      </c>
      <c r="H54" s="45">
        <f>'Source data'!CA53</f>
        <v>2706</v>
      </c>
      <c r="I54" s="45">
        <f>'Source data'!CO53</f>
        <v>1862</v>
      </c>
      <c r="J54" s="45">
        <f>'Source data'!DC53</f>
        <v>1924</v>
      </c>
      <c r="K54" s="45">
        <f>'Source data'!DQ53</f>
        <v>0</v>
      </c>
      <c r="L54" s="45"/>
      <c r="M54" s="45"/>
      <c r="O54" s="3">
        <f t="shared" si="0"/>
        <v>2706</v>
      </c>
      <c r="P54" s="3">
        <f t="shared" si="13"/>
        <v>2025</v>
      </c>
      <c r="Q54" s="3">
        <f t="shared" si="14"/>
        <v>1236</v>
      </c>
      <c r="R54" s="3">
        <f t="shared" si="15"/>
        <v>2080</v>
      </c>
      <c r="S54" s="3">
        <f t="shared" si="16"/>
        <v>2284</v>
      </c>
      <c r="T54" s="3">
        <f t="shared" si="17"/>
        <v>1862</v>
      </c>
      <c r="U54" s="26">
        <f t="shared" si="18"/>
        <v>2154.6857142857189</v>
      </c>
    </row>
    <row r="55" spans="2:21">
      <c r="B55" s="24">
        <f>'Source data'!C54</f>
        <v>47</v>
      </c>
      <c r="C55" s="45">
        <f>'Source data'!I54</f>
        <v>2456</v>
      </c>
      <c r="D55" s="45">
        <f>'Source data'!W54</f>
        <v>2108</v>
      </c>
      <c r="E55" s="45">
        <f>'Source data'!AK54</f>
        <v>696</v>
      </c>
      <c r="F55" s="45">
        <f>'Source data'!AY54</f>
        <v>1440</v>
      </c>
      <c r="G55" s="45">
        <f>'Source data'!BM54</f>
        <v>1968</v>
      </c>
      <c r="H55" s="45">
        <f>'Source data'!CA54</f>
        <v>2540</v>
      </c>
      <c r="I55" s="45">
        <f>'Source data'!CO54</f>
        <v>1718</v>
      </c>
      <c r="J55" s="45">
        <f>'Source data'!DC54</f>
        <v>1760</v>
      </c>
      <c r="K55" s="45">
        <f>'Source data'!DQ54</f>
        <v>0</v>
      </c>
      <c r="L55" s="45"/>
      <c r="M55" s="45"/>
      <c r="O55" s="3">
        <f t="shared" si="0"/>
        <v>2540</v>
      </c>
      <c r="P55" s="3">
        <f t="shared" si="13"/>
        <v>1846.5714285714287</v>
      </c>
      <c r="Q55" s="3">
        <f t="shared" si="14"/>
        <v>696</v>
      </c>
      <c r="R55" s="3">
        <f t="shared" si="15"/>
        <v>2075.3333333333335</v>
      </c>
      <c r="S55" s="3">
        <f t="shared" si="16"/>
        <v>2129</v>
      </c>
      <c r="T55" s="3">
        <f t="shared" si="17"/>
        <v>1718</v>
      </c>
      <c r="U55" s="26">
        <f t="shared" si="18"/>
        <v>2273.4285714285797</v>
      </c>
    </row>
    <row r="56" spans="2:21">
      <c r="B56" s="24">
        <f>'Source data'!C55</f>
        <v>48</v>
      </c>
      <c r="C56" s="45">
        <f>'Source data'!I55</f>
        <v>1648</v>
      </c>
      <c r="D56" s="45">
        <f>'Source data'!W55</f>
        <v>1524</v>
      </c>
      <c r="E56" s="45">
        <f>'Source data'!AK55</f>
        <v>1276</v>
      </c>
      <c r="F56" s="45">
        <f>'Source data'!AY55</f>
        <v>1743</v>
      </c>
      <c r="G56" s="45">
        <f>'Source data'!BM55</f>
        <v>1344</v>
      </c>
      <c r="H56" s="45">
        <f>'Source data'!CA55</f>
        <v>2034</v>
      </c>
      <c r="I56" s="45">
        <f>'Source data'!CO55</f>
        <v>1398</v>
      </c>
      <c r="J56" s="45">
        <f>'Source data'!DC55</f>
        <v>1404</v>
      </c>
      <c r="K56" s="45">
        <f>'Source data'!DQ55</f>
        <v>0</v>
      </c>
      <c r="L56" s="45"/>
      <c r="M56" s="45"/>
      <c r="O56" s="3">
        <f t="shared" si="0"/>
        <v>2034</v>
      </c>
      <c r="P56" s="3">
        <f t="shared" si="13"/>
        <v>1566.7142857142858</v>
      </c>
      <c r="Q56" s="3">
        <f t="shared" si="14"/>
        <v>1276</v>
      </c>
      <c r="R56" s="3">
        <f t="shared" si="15"/>
        <v>1592</v>
      </c>
      <c r="S56" s="3">
        <f t="shared" si="16"/>
        <v>1716</v>
      </c>
      <c r="T56" s="3">
        <f t="shared" si="17"/>
        <v>1398</v>
      </c>
      <c r="U56" s="26">
        <f t="shared" si="18"/>
        <v>1713.2380952381063</v>
      </c>
    </row>
    <row r="57" spans="2:21">
      <c r="B57" s="24">
        <f>'Source data'!C56</f>
        <v>49</v>
      </c>
      <c r="C57" s="45">
        <f>'Source data'!I56</f>
        <v>2716</v>
      </c>
      <c r="D57" s="45">
        <f>'Source data'!W56</f>
        <v>2256</v>
      </c>
      <c r="E57" s="45">
        <f>'Source data'!AK56</f>
        <v>1402</v>
      </c>
      <c r="F57" s="45">
        <f>'Source data'!AY56</f>
        <v>2114</v>
      </c>
      <c r="G57" s="45">
        <f>'Source data'!BM56</f>
        <v>1712</v>
      </c>
      <c r="H57" s="45">
        <f>'Source data'!CA56</f>
        <v>2977</v>
      </c>
      <c r="I57" s="45">
        <f>'Source data'!CO56</f>
        <v>2022</v>
      </c>
      <c r="J57" s="45">
        <f>'Source data'!DC56</f>
        <v>2042</v>
      </c>
      <c r="K57" s="45">
        <f>'Source data'!DQ56</f>
        <v>0</v>
      </c>
      <c r="L57" s="45"/>
      <c r="M57" s="45"/>
      <c r="O57" s="3">
        <f t="shared" si="0"/>
        <v>2977</v>
      </c>
      <c r="P57" s="3">
        <f t="shared" si="13"/>
        <v>2171.2857142857142</v>
      </c>
      <c r="Q57" s="3">
        <f t="shared" si="14"/>
        <v>1402</v>
      </c>
      <c r="R57" s="3">
        <f t="shared" si="15"/>
        <v>2237</v>
      </c>
      <c r="S57" s="3">
        <f t="shared" si="16"/>
        <v>2499.5</v>
      </c>
      <c r="T57" s="3">
        <f t="shared" si="17"/>
        <v>2022</v>
      </c>
      <c r="U57" s="26">
        <f t="shared" si="18"/>
        <v>2485.8857142857159</v>
      </c>
    </row>
    <row r="58" spans="2:21">
      <c r="B58" s="24">
        <f>'Source data'!C57</f>
        <v>50</v>
      </c>
      <c r="C58" s="45">
        <f>'Source data'!I57</f>
        <v>2292</v>
      </c>
      <c r="D58" s="45">
        <f>'Source data'!W57</f>
        <v>2004</v>
      </c>
      <c r="E58" s="45">
        <f>'Source data'!AK57</f>
        <v>926</v>
      </c>
      <c r="F58" s="45">
        <f>'Source data'!AY57</f>
        <v>1703</v>
      </c>
      <c r="G58" s="45">
        <f>'Source data'!BM57</f>
        <v>1800</v>
      </c>
      <c r="H58" s="45">
        <f>'Source data'!CA57</f>
        <v>2686</v>
      </c>
      <c r="I58" s="45">
        <f>'Source data'!CO57</f>
        <v>1788</v>
      </c>
      <c r="J58" s="45">
        <f>'Source data'!DC57</f>
        <v>1868</v>
      </c>
      <c r="K58" s="45">
        <f>'Source data'!DQ57</f>
        <v>0</v>
      </c>
      <c r="L58" s="45"/>
      <c r="M58" s="45"/>
      <c r="O58" s="3">
        <f t="shared" si="0"/>
        <v>2686</v>
      </c>
      <c r="P58" s="3">
        <f t="shared" si="13"/>
        <v>1885.5714285714287</v>
      </c>
      <c r="Q58" s="3">
        <f t="shared" si="14"/>
        <v>926</v>
      </c>
      <c r="R58" s="3">
        <f t="shared" si="15"/>
        <v>2091.3333333333335</v>
      </c>
      <c r="S58" s="3">
        <f t="shared" si="16"/>
        <v>2237</v>
      </c>
      <c r="T58" s="3">
        <f t="shared" si="17"/>
        <v>1788</v>
      </c>
      <c r="U58" s="26">
        <f t="shared" si="18"/>
        <v>2370.3047619047575</v>
      </c>
    </row>
    <row r="59" spans="2:21">
      <c r="B59" s="24">
        <f>'Source data'!C58</f>
        <v>51</v>
      </c>
      <c r="C59" s="45">
        <f>'Source data'!I58</f>
        <v>1580</v>
      </c>
      <c r="D59" s="45">
        <f>'Source data'!W58</f>
        <v>1212</v>
      </c>
      <c r="E59" s="45">
        <f>'Source data'!AK58</f>
        <v>882</v>
      </c>
      <c r="F59" s="45">
        <f>'Source data'!AY58</f>
        <v>1435</v>
      </c>
      <c r="G59" s="45">
        <f>'Source data'!BM58</f>
        <v>1274</v>
      </c>
      <c r="H59" s="45">
        <f>'Source data'!CA58</f>
        <v>1986</v>
      </c>
      <c r="I59" s="45">
        <f>'Source data'!CO58</f>
        <v>1330</v>
      </c>
      <c r="J59" s="45">
        <f>'Source data'!DC58</f>
        <v>1968</v>
      </c>
      <c r="K59" s="45">
        <f>'Source data'!DQ58</f>
        <v>0</v>
      </c>
      <c r="L59" s="45"/>
      <c r="M59" s="45"/>
      <c r="O59" s="3">
        <f t="shared" si="0"/>
        <v>1986</v>
      </c>
      <c r="P59" s="3">
        <f t="shared" si="13"/>
        <v>1385.5714285714287</v>
      </c>
      <c r="Q59" s="3">
        <f t="shared" si="14"/>
        <v>882</v>
      </c>
      <c r="R59" s="3">
        <f t="shared" si="15"/>
        <v>1530</v>
      </c>
      <c r="S59" s="3">
        <f t="shared" si="16"/>
        <v>1658</v>
      </c>
      <c r="T59" s="3">
        <f t="shared" si="17"/>
        <v>1330</v>
      </c>
      <c r="U59" s="26">
        <f t="shared" si="18"/>
        <v>1834.1523809523787</v>
      </c>
    </row>
    <row r="60" spans="2:21">
      <c r="B60" s="24">
        <f>'Source data'!C59</f>
        <v>52</v>
      </c>
      <c r="C60" s="45">
        <f>'Source data'!I59</f>
        <v>1080</v>
      </c>
      <c r="D60" s="45">
        <f>'Source data'!W59</f>
        <v>996</v>
      </c>
      <c r="E60" s="45">
        <f>'Source data'!AK59</f>
        <v>946</v>
      </c>
      <c r="F60" s="45">
        <f>'Source data'!AY59</f>
        <v>1257</v>
      </c>
      <c r="G60" s="45">
        <f>'Source data'!BM59</f>
        <v>1006</v>
      </c>
      <c r="H60" s="45">
        <f>'Source data'!CA59</f>
        <v>1553</v>
      </c>
      <c r="I60" s="45">
        <f>'Source data'!CO59</f>
        <v>1064</v>
      </c>
      <c r="J60" s="45">
        <f>'Source data'!DC59</f>
        <v>1296</v>
      </c>
      <c r="K60" s="45">
        <f>'Source data'!DQ59</f>
        <v>0</v>
      </c>
      <c r="L60" s="45"/>
      <c r="M60" s="45"/>
      <c r="O60" s="3">
        <f t="shared" si="0"/>
        <v>1553</v>
      </c>
      <c r="P60" s="3">
        <f t="shared" si="13"/>
        <v>1128.8571428571429</v>
      </c>
      <c r="Q60" s="3">
        <f t="shared" si="14"/>
        <v>946</v>
      </c>
      <c r="R60" s="3">
        <f t="shared" si="15"/>
        <v>1207.6666666666667</v>
      </c>
      <c r="S60" s="3">
        <f t="shared" si="16"/>
        <v>1308.5</v>
      </c>
      <c r="T60" s="3">
        <f t="shared" si="17"/>
        <v>1064</v>
      </c>
      <c r="U60" s="26">
        <f t="shared" si="18"/>
        <v>1382.5714285714348</v>
      </c>
    </row>
    <row r="61" spans="2:21">
      <c r="B61" s="24"/>
      <c r="C61" s="25"/>
      <c r="D61" s="25"/>
      <c r="E61" s="25"/>
      <c r="F61" s="25"/>
      <c r="G61" s="25"/>
      <c r="H61" s="25"/>
      <c r="I61" s="25"/>
      <c r="J61" s="25"/>
      <c r="K61" s="25"/>
      <c r="L61" s="25"/>
      <c r="M61" s="25"/>
      <c r="P61" s="3"/>
    </row>
    <row r="62" spans="2:21">
      <c r="B62" s="17" t="s">
        <v>3</v>
      </c>
      <c r="C62" s="27">
        <f>AVERAGE(C9:C61)</f>
        <v>2121.7692307692309</v>
      </c>
      <c r="D62" s="27">
        <f t="shared" ref="D62:I62" si="19">AVERAGE(D9:D61)</f>
        <v>2097.4615384615386</v>
      </c>
      <c r="E62" s="27">
        <f t="shared" si="19"/>
        <v>1110.3846153846155</v>
      </c>
      <c r="F62" s="27">
        <f t="shared" si="19"/>
        <v>1721.2884615384614</v>
      </c>
      <c r="G62" s="27">
        <f t="shared" si="19"/>
        <v>1497.9230769230769</v>
      </c>
      <c r="H62" s="27">
        <f t="shared" si="19"/>
        <v>2374.9423076923076</v>
      </c>
      <c r="I62" s="27">
        <f t="shared" si="19"/>
        <v>1588.1153846153845</v>
      </c>
      <c r="J62" s="27">
        <f>AVERAGE(J9:J60)</f>
        <v>1723.3846153846155</v>
      </c>
      <c r="K62" s="27">
        <f>AVERAGE(K9:K60)</f>
        <v>967.42307692307691</v>
      </c>
      <c r="L62" s="80"/>
      <c r="M62" s="45"/>
      <c r="O62" s="27">
        <f t="shared" ref="O62:T62" si="20">AVERAGE(O9:O60)</f>
        <v>2413.3461538461538</v>
      </c>
      <c r="P62" s="27">
        <f>AVERAGE(P9:P60)</f>
        <v>1780.1406822344329</v>
      </c>
      <c r="Q62" s="27">
        <f t="shared" si="20"/>
        <v>1109.8076923076924</v>
      </c>
      <c r="R62" s="27">
        <f t="shared" si="20"/>
        <v>1786.6602564102561</v>
      </c>
      <c r="S62" s="27">
        <f t="shared" si="20"/>
        <v>1765.3653846153845</v>
      </c>
      <c r="T62" s="27">
        <f t="shared" si="20"/>
        <v>1692.1153846153845</v>
      </c>
      <c r="U62" s="27">
        <f t="shared" ref="U62" si="21">AVERAGE(U9:U61)</f>
        <v>1818.9663003663011</v>
      </c>
    </row>
    <row r="63" spans="2:21">
      <c r="B63" s="17"/>
      <c r="C63" s="17"/>
      <c r="D63" s="17"/>
      <c r="E63" s="17"/>
      <c r="F63" s="17"/>
      <c r="G63" s="17"/>
      <c r="H63" s="17"/>
      <c r="I63" s="17"/>
      <c r="J63" s="17"/>
      <c r="K63" s="17"/>
      <c r="L63" s="17"/>
      <c r="M63" s="17"/>
    </row>
  </sheetData>
  <mergeCells count="1">
    <mergeCell ref="B6:U6"/>
  </mergeCells>
  <pageMargins left="0.7" right="0.7" top="0.75" bottom="0.75" header="0.3" footer="0.3"/>
  <pageSetup orientation="portrait" horizontalDpi="4294967292" verticalDpi="429496729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'Attendance analysis'!C62:I62</xm:f>
              <xm:sqref>M62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'Attendance analysis'!C9:I9</xm:f>
              <xm:sqref>M9</xm:sqref>
            </x14:sparkline>
            <x14:sparkline>
              <xm:f>'Attendance analysis'!C10:I10</xm:f>
              <xm:sqref>M10</xm:sqref>
            </x14:sparkline>
            <x14:sparkline>
              <xm:f>'Attendance analysis'!C11:I11</xm:f>
              <xm:sqref>M11</xm:sqref>
            </x14:sparkline>
            <x14:sparkline>
              <xm:f>'Attendance analysis'!C12:I12</xm:f>
              <xm:sqref>M12</xm:sqref>
            </x14:sparkline>
            <x14:sparkline>
              <xm:f>'Attendance analysis'!C13:I13</xm:f>
              <xm:sqref>M13</xm:sqref>
            </x14:sparkline>
            <x14:sparkline>
              <xm:f>'Attendance analysis'!C14:I14</xm:f>
              <xm:sqref>M14</xm:sqref>
            </x14:sparkline>
            <x14:sparkline>
              <xm:f>'Attendance analysis'!C15:I15</xm:f>
              <xm:sqref>M15</xm:sqref>
            </x14:sparkline>
            <x14:sparkline>
              <xm:f>'Attendance analysis'!C16:I16</xm:f>
              <xm:sqref>M16</xm:sqref>
            </x14:sparkline>
            <x14:sparkline>
              <xm:f>'Attendance analysis'!C17:I17</xm:f>
              <xm:sqref>M17</xm:sqref>
            </x14:sparkline>
            <x14:sparkline>
              <xm:f>'Attendance analysis'!C18:I18</xm:f>
              <xm:sqref>M18</xm:sqref>
            </x14:sparkline>
            <x14:sparkline>
              <xm:f>'Attendance analysis'!C19:I19</xm:f>
              <xm:sqref>M19</xm:sqref>
            </x14:sparkline>
            <x14:sparkline>
              <xm:f>'Attendance analysis'!C20:I20</xm:f>
              <xm:sqref>M20</xm:sqref>
            </x14:sparkline>
            <x14:sparkline>
              <xm:f>'Attendance analysis'!C21:I21</xm:f>
              <xm:sqref>M21</xm:sqref>
            </x14:sparkline>
            <x14:sparkline>
              <xm:f>'Attendance analysis'!C22:I22</xm:f>
              <xm:sqref>M22</xm:sqref>
            </x14:sparkline>
            <x14:sparkline>
              <xm:f>'Attendance analysis'!C23:I23</xm:f>
              <xm:sqref>M23</xm:sqref>
            </x14:sparkline>
            <x14:sparkline>
              <xm:f>'Attendance analysis'!C24:I24</xm:f>
              <xm:sqref>M24</xm:sqref>
            </x14:sparkline>
            <x14:sparkline>
              <xm:f>'Attendance analysis'!C25:I25</xm:f>
              <xm:sqref>M25</xm:sqref>
            </x14:sparkline>
            <x14:sparkline>
              <xm:f>'Attendance analysis'!C26:I26</xm:f>
              <xm:sqref>M26</xm:sqref>
            </x14:sparkline>
            <x14:sparkline>
              <xm:f>'Attendance analysis'!C27:I27</xm:f>
              <xm:sqref>M27</xm:sqref>
            </x14:sparkline>
            <x14:sparkline>
              <xm:f>'Attendance analysis'!C28:I28</xm:f>
              <xm:sqref>M28</xm:sqref>
            </x14:sparkline>
            <x14:sparkline>
              <xm:f>'Attendance analysis'!C29:I29</xm:f>
              <xm:sqref>M29</xm:sqref>
            </x14:sparkline>
            <x14:sparkline>
              <xm:f>'Attendance analysis'!C30:I30</xm:f>
              <xm:sqref>M30</xm:sqref>
            </x14:sparkline>
            <x14:sparkline>
              <xm:f>'Attendance analysis'!C31:I31</xm:f>
              <xm:sqref>M31</xm:sqref>
            </x14:sparkline>
            <x14:sparkline>
              <xm:f>'Attendance analysis'!C32:I32</xm:f>
              <xm:sqref>M32</xm:sqref>
            </x14:sparkline>
            <x14:sparkline>
              <xm:f>'Attendance analysis'!C33:I33</xm:f>
              <xm:sqref>M33</xm:sqref>
            </x14:sparkline>
            <x14:sparkline>
              <xm:f>'Attendance analysis'!C34:I34</xm:f>
              <xm:sqref>M34</xm:sqref>
            </x14:sparkline>
            <x14:sparkline>
              <xm:f>'Attendance analysis'!C35:I35</xm:f>
              <xm:sqref>M35</xm:sqref>
            </x14:sparkline>
            <x14:sparkline>
              <xm:f>'Attendance analysis'!C36:I36</xm:f>
              <xm:sqref>M36</xm:sqref>
            </x14:sparkline>
            <x14:sparkline>
              <xm:f>'Attendance analysis'!C37:I37</xm:f>
              <xm:sqref>M37</xm:sqref>
            </x14:sparkline>
            <x14:sparkline>
              <xm:f>'Attendance analysis'!C38:I38</xm:f>
              <xm:sqref>M38</xm:sqref>
            </x14:sparkline>
            <x14:sparkline>
              <xm:f>'Attendance analysis'!C39:I39</xm:f>
              <xm:sqref>M39</xm:sqref>
            </x14:sparkline>
            <x14:sparkline>
              <xm:f>'Attendance analysis'!C40:I40</xm:f>
              <xm:sqref>M40</xm:sqref>
            </x14:sparkline>
            <x14:sparkline>
              <xm:f>'Attendance analysis'!C41:I41</xm:f>
              <xm:sqref>M41</xm:sqref>
            </x14:sparkline>
            <x14:sparkline>
              <xm:f>'Attendance analysis'!C42:I42</xm:f>
              <xm:sqref>M42</xm:sqref>
            </x14:sparkline>
            <x14:sparkline>
              <xm:f>'Attendance analysis'!C43:I43</xm:f>
              <xm:sqref>M43</xm:sqref>
            </x14:sparkline>
            <x14:sparkline>
              <xm:f>'Attendance analysis'!C44:I44</xm:f>
              <xm:sqref>M44</xm:sqref>
            </x14:sparkline>
            <x14:sparkline>
              <xm:f>'Attendance analysis'!C45:I45</xm:f>
              <xm:sqref>M45</xm:sqref>
            </x14:sparkline>
            <x14:sparkline>
              <xm:f>'Attendance analysis'!C46:I46</xm:f>
              <xm:sqref>M46</xm:sqref>
            </x14:sparkline>
            <x14:sparkline>
              <xm:f>'Attendance analysis'!C47:I47</xm:f>
              <xm:sqref>M47</xm:sqref>
            </x14:sparkline>
            <x14:sparkline>
              <xm:f>'Attendance analysis'!C48:I48</xm:f>
              <xm:sqref>M48</xm:sqref>
            </x14:sparkline>
            <x14:sparkline>
              <xm:f>'Attendance analysis'!C49:I49</xm:f>
              <xm:sqref>M49</xm:sqref>
            </x14:sparkline>
            <x14:sparkline>
              <xm:f>'Attendance analysis'!C50:I50</xm:f>
              <xm:sqref>M50</xm:sqref>
            </x14:sparkline>
            <x14:sparkline>
              <xm:f>'Attendance analysis'!C51:I51</xm:f>
              <xm:sqref>M51</xm:sqref>
            </x14:sparkline>
            <x14:sparkline>
              <xm:f>'Attendance analysis'!C52:I52</xm:f>
              <xm:sqref>M52</xm:sqref>
            </x14:sparkline>
            <x14:sparkline>
              <xm:f>'Attendance analysis'!C53:I53</xm:f>
              <xm:sqref>M53</xm:sqref>
            </x14:sparkline>
            <x14:sparkline>
              <xm:f>'Attendance analysis'!C54:I54</xm:f>
              <xm:sqref>M54</xm:sqref>
            </x14:sparkline>
            <x14:sparkline>
              <xm:f>'Attendance analysis'!C55:I55</xm:f>
              <xm:sqref>M55</xm:sqref>
            </x14:sparkline>
            <x14:sparkline>
              <xm:f>'Attendance analysis'!C56:I56</xm:f>
              <xm:sqref>M56</xm:sqref>
            </x14:sparkline>
            <x14:sparkline>
              <xm:f>'Attendance analysis'!C57:I57</xm:f>
              <xm:sqref>M57</xm:sqref>
            </x14:sparkline>
            <x14:sparkline>
              <xm:f>'Attendance analysis'!C58:I58</xm:f>
              <xm:sqref>M58</xm:sqref>
            </x14:sparkline>
            <x14:sparkline>
              <xm:f>'Attendance analysis'!C59:I59</xm:f>
              <xm:sqref>M59</xm:sqref>
            </x14:sparkline>
            <x14:sparkline>
              <xm:f>'Attendance analysis'!C60:I60</xm:f>
              <xm:sqref>M60</xm:sqref>
            </x14:sparkline>
          </x14:sparklines>
        </x14:sparklineGroup>
      </x14:sparklineGroup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T121"/>
  <sheetViews>
    <sheetView workbookViewId="0">
      <selection activeCell="T67" sqref="T67"/>
    </sheetView>
  </sheetViews>
  <sheetFormatPr defaultColWidth="8.83203125" defaultRowHeight="12.75"/>
  <cols>
    <col min="1" max="1" width="2.83203125" style="1" customWidth="1"/>
    <col min="2" max="2" width="10.5" style="1" bestFit="1" customWidth="1"/>
    <col min="3" max="12" width="8.83203125" style="1" customWidth="1"/>
    <col min="13" max="13" width="2.83203125" style="1" customWidth="1"/>
    <col min="14" max="14" width="9.6640625" style="1" bestFit="1" customWidth="1"/>
    <col min="15" max="16" width="8.83203125" style="1"/>
    <col min="17" max="18" width="12.83203125" style="1" bestFit="1" customWidth="1"/>
    <col min="19" max="16384" width="8.83203125" style="1"/>
  </cols>
  <sheetData>
    <row r="1" spans="1:20">
      <c r="A1" s="69" t="str">
        <f>Client</f>
        <v>Example Church</v>
      </c>
    </row>
    <row r="2" spans="1:20">
      <c r="A2" s="7" t="str">
        <f>FileName</f>
        <v>Budget proposal worksheet</v>
      </c>
    </row>
    <row r="3" spans="1:20">
      <c r="A3" s="7" t="s">
        <v>271</v>
      </c>
    </row>
    <row r="4" spans="1:20">
      <c r="A4" s="8" t="str">
        <f>Date</f>
        <v>10/31/13</v>
      </c>
    </row>
    <row r="6" spans="1:20">
      <c r="B6" s="113" t="s">
        <v>9</v>
      </c>
      <c r="C6" s="113"/>
      <c r="D6" s="113"/>
      <c r="E6" s="113"/>
      <c r="F6" s="113"/>
      <c r="G6" s="113"/>
      <c r="H6" s="113"/>
      <c r="I6" s="113"/>
      <c r="J6" s="113"/>
      <c r="K6" s="113"/>
      <c r="L6" s="113"/>
      <c r="M6" s="113"/>
      <c r="N6" s="113"/>
      <c r="O6" s="113"/>
      <c r="P6" s="113"/>
      <c r="Q6" s="113"/>
      <c r="R6" s="113"/>
      <c r="S6" s="113"/>
      <c r="T6" s="113"/>
    </row>
    <row r="7" spans="1:20">
      <c r="Q7" s="19" t="s">
        <v>277</v>
      </c>
      <c r="R7" s="19" t="s">
        <v>277</v>
      </c>
      <c r="S7" s="19" t="s">
        <v>287</v>
      </c>
      <c r="T7" s="19" t="s">
        <v>298</v>
      </c>
    </row>
    <row r="8" spans="1:20">
      <c r="B8" s="20" t="s">
        <v>0</v>
      </c>
      <c r="C8" s="21">
        <v>2005</v>
      </c>
      <c r="D8" s="21">
        <v>2006</v>
      </c>
      <c r="E8" s="21">
        <v>2007</v>
      </c>
      <c r="F8" s="21">
        <v>2008</v>
      </c>
      <c r="G8" s="21">
        <v>2009</v>
      </c>
      <c r="H8" s="21">
        <v>2010</v>
      </c>
      <c r="I8" s="21">
        <v>2011</v>
      </c>
      <c r="J8" s="21">
        <v>2012</v>
      </c>
      <c r="K8" s="21">
        <v>2013</v>
      </c>
      <c r="L8" s="21">
        <v>2014</v>
      </c>
      <c r="M8" s="21"/>
      <c r="N8" s="22" t="s">
        <v>273</v>
      </c>
      <c r="O8" s="22" t="s">
        <v>3</v>
      </c>
      <c r="P8" s="22" t="s">
        <v>274</v>
      </c>
      <c r="Q8" s="23" t="s">
        <v>278</v>
      </c>
      <c r="R8" s="23" t="s">
        <v>286</v>
      </c>
      <c r="S8" s="23" t="s">
        <v>288</v>
      </c>
      <c r="T8" s="23" t="s">
        <v>299</v>
      </c>
    </row>
    <row r="9" spans="1:20">
      <c r="A9" s="17"/>
      <c r="B9" s="24">
        <f>'Source data'!C8</f>
        <v>1</v>
      </c>
      <c r="C9" s="45">
        <f>'Source data'!O8</f>
        <v>9.1836734693877542</v>
      </c>
      <c r="D9" s="45">
        <f>'Source data'!AC8</f>
        <v>12.641903114186853</v>
      </c>
      <c r="E9" s="45">
        <f>'Source data'!AQ8</f>
        <v>46.620046620046622</v>
      </c>
      <c r="F9" s="45">
        <f>'Source data'!BE8</f>
        <v>36.928204081632657</v>
      </c>
      <c r="G9" s="45">
        <f>'Source data'!BS8</f>
        <v>33.642368972746333</v>
      </c>
      <c r="H9" s="45">
        <f>'Source data'!CG8</f>
        <v>25.84430484037075</v>
      </c>
      <c r="I9" s="45">
        <f>'Source data'!CU8</f>
        <v>40.123456790123456</v>
      </c>
      <c r="J9" s="45">
        <f>'Source data'!DI8</f>
        <v>39.335903083700444</v>
      </c>
      <c r="K9" s="45">
        <f>'Source data'!DW8</f>
        <v>52.710843373493979</v>
      </c>
      <c r="L9" s="45"/>
      <c r="M9" s="45"/>
      <c r="N9" s="3">
        <f>MAX(C9:K9)</f>
        <v>52.710843373493979</v>
      </c>
      <c r="O9" s="3">
        <f>AVERAGE(C9:K9)</f>
        <v>33.003411593965424</v>
      </c>
      <c r="P9" s="3">
        <f>MIN(C9:M9)</f>
        <v>9.1836734693877542</v>
      </c>
      <c r="Q9" s="3">
        <f>AVERAGE(I9:K9)</f>
        <v>44.056734415772631</v>
      </c>
      <c r="R9" s="3">
        <f>AVERAGE(J9:K9)</f>
        <v>46.023373228597208</v>
      </c>
      <c r="S9" s="3">
        <f>K9</f>
        <v>52.710843373493979</v>
      </c>
      <c r="T9" s="26">
        <f>TREND(C9:K9,$C$8:$K$8,$L$8)</f>
        <v>52.17954497928713</v>
      </c>
    </row>
    <row r="10" spans="1:20">
      <c r="B10" s="24">
        <f>'Source data'!C9</f>
        <v>2</v>
      </c>
      <c r="C10" s="45">
        <f>'Source data'!O9</f>
        <v>14.835164835164834</v>
      </c>
      <c r="D10" s="45">
        <f>'Source data'!AC9</f>
        <v>12.793176972281451</v>
      </c>
      <c r="E10" s="45">
        <f>'Source data'!AQ9</f>
        <v>55.28846153846154</v>
      </c>
      <c r="F10" s="45">
        <f>'Source data'!BE9</f>
        <v>18.398483516483516</v>
      </c>
      <c r="G10" s="45">
        <f>'Source data'!BS9</f>
        <v>30.434041450777205</v>
      </c>
      <c r="H10" s="45">
        <f>'Source data'!CG9</f>
        <v>13.3104336625161</v>
      </c>
      <c r="I10" s="45">
        <f>'Source data'!CU9</f>
        <v>30</v>
      </c>
      <c r="J10" s="45">
        <f>'Source data'!DI9</f>
        <v>27.069925742574256</v>
      </c>
      <c r="K10" s="45">
        <f>'Source data'!DW9</f>
        <v>47.233468286099864</v>
      </c>
      <c r="L10" s="45"/>
      <c r="M10" s="45"/>
      <c r="N10" s="3">
        <f t="shared" ref="N10:N30" si="0">MAX(C10:K10)</f>
        <v>55.28846153846154</v>
      </c>
      <c r="O10" s="3">
        <f t="shared" ref="O10:O30" si="1">AVERAGE(C10:K10)</f>
        <v>27.707017333817639</v>
      </c>
      <c r="P10" s="3">
        <f t="shared" ref="P10:P30" si="2">MIN(C10:M10)</f>
        <v>12.793176972281451</v>
      </c>
      <c r="Q10" s="3">
        <f t="shared" ref="Q10:Q30" si="3">AVERAGE(I10:K10)</f>
        <v>34.767798009558042</v>
      </c>
      <c r="R10" s="3">
        <f t="shared" ref="R10:R30" si="4">AVERAGE(J10:K10)</f>
        <v>37.15169701433706</v>
      </c>
      <c r="S10" s="3">
        <f t="shared" ref="S10:S30" si="5">K10</f>
        <v>47.233468286099864</v>
      </c>
      <c r="T10" s="26">
        <f t="shared" ref="T10:T30" si="6">TREND(C10:K10,$C$8:$K$8,$L$8)</f>
        <v>37.436891265794657</v>
      </c>
    </row>
    <row r="11" spans="1:20">
      <c r="B11" s="24">
        <f>'Source data'!C10</f>
        <v>3</v>
      </c>
      <c r="C11" s="45">
        <f>'Source data'!O10</f>
        <v>13.341067285382831</v>
      </c>
      <c r="D11" s="45">
        <f>'Source data'!AC10</f>
        <v>15.717935684647303</v>
      </c>
      <c r="E11" s="45">
        <f>'Source data'!AQ10</f>
        <v>47.008547008547012</v>
      </c>
      <c r="F11" s="45">
        <f>'Source data'!BE10</f>
        <v>23.306206496519721</v>
      </c>
      <c r="G11" s="45">
        <f>'Source data'!BS10</f>
        <v>34.342546296296291</v>
      </c>
      <c r="H11" s="45">
        <f>'Source data'!CG10</f>
        <v>15.172413793103448</v>
      </c>
      <c r="I11" s="45">
        <f>'Source data'!CU10</f>
        <v>39.16083916083916</v>
      </c>
      <c r="J11" s="45">
        <f>'Source data'!DI10</f>
        <v>33.227329192546584</v>
      </c>
      <c r="K11" s="45">
        <f>'Source data'!DW10</f>
        <v>38.203753351206437</v>
      </c>
      <c r="L11" s="45"/>
      <c r="M11" s="45"/>
      <c r="N11" s="3">
        <f t="shared" si="0"/>
        <v>47.008547008547012</v>
      </c>
      <c r="O11" s="3">
        <f t="shared" si="1"/>
        <v>28.831182029898756</v>
      </c>
      <c r="P11" s="3">
        <f t="shared" si="2"/>
        <v>13.341067285382831</v>
      </c>
      <c r="Q11" s="3">
        <f t="shared" si="3"/>
        <v>36.863973901530727</v>
      </c>
      <c r="R11" s="3">
        <f t="shared" si="4"/>
        <v>35.715541271876511</v>
      </c>
      <c r="S11" s="3">
        <f t="shared" si="5"/>
        <v>38.203753351206437</v>
      </c>
      <c r="T11" s="26">
        <f t="shared" si="6"/>
        <v>39.510325062245101</v>
      </c>
    </row>
    <row r="12" spans="1:20">
      <c r="B12" s="24">
        <f>'Source data'!C11</f>
        <v>4</v>
      </c>
      <c r="C12" s="45">
        <f>'Source data'!O11</f>
        <v>10.047281323877069</v>
      </c>
      <c r="D12" s="45">
        <f>'Source data'!AC11</f>
        <v>15.40127314814815</v>
      </c>
      <c r="E12" s="45">
        <f>'Source data'!AQ11</f>
        <v>30.303030303030305</v>
      </c>
      <c r="F12" s="45">
        <f>'Source data'!BE11</f>
        <v>21.19710401891253</v>
      </c>
      <c r="G12" s="45">
        <f>'Source data'!BS11</f>
        <v>26.864553824362606</v>
      </c>
      <c r="H12" s="45">
        <f>'Source data'!CG11</f>
        <v>13.937282229965156</v>
      </c>
      <c r="I12" s="45">
        <f>'Source data'!CU11</f>
        <v>38.51010101010101</v>
      </c>
      <c r="J12" s="45">
        <f>'Source data'!DI11</f>
        <v>39.61598557692308</v>
      </c>
      <c r="K12" s="45">
        <f>'Source data'!DW11</f>
        <v>32.238442822384428</v>
      </c>
      <c r="L12" s="45"/>
      <c r="M12" s="45"/>
      <c r="N12" s="3">
        <f t="shared" si="0"/>
        <v>39.61598557692308</v>
      </c>
      <c r="O12" s="3">
        <f t="shared" si="1"/>
        <v>25.346117139744923</v>
      </c>
      <c r="P12" s="3">
        <f t="shared" si="2"/>
        <v>10.047281323877069</v>
      </c>
      <c r="Q12" s="3">
        <f t="shared" si="3"/>
        <v>36.788176469802842</v>
      </c>
      <c r="R12" s="3">
        <f t="shared" si="4"/>
        <v>35.927214199653754</v>
      </c>
      <c r="S12" s="3">
        <f t="shared" si="5"/>
        <v>32.238442822384428</v>
      </c>
      <c r="T12" s="26">
        <f t="shared" si="6"/>
        <v>39.559709048540753</v>
      </c>
    </row>
    <row r="13" spans="1:20">
      <c r="B13" s="24">
        <f>'Source data'!C12</f>
        <v>5</v>
      </c>
      <c r="C13" s="45">
        <f>'Source data'!O12</f>
        <v>11.208576998050681</v>
      </c>
      <c r="D13" s="45">
        <f>'Source data'!AC12</f>
        <v>11.494252873563219</v>
      </c>
      <c r="E13" s="45">
        <f>'Source data'!AQ12</f>
        <v>41.519434628975262</v>
      </c>
      <c r="F13" s="45">
        <f>'Source data'!BE12</f>
        <v>21.622485380116956</v>
      </c>
      <c r="G13" s="45">
        <f>'Source data'!BS12</f>
        <v>31.423818565400843</v>
      </c>
      <c r="H13" s="45">
        <f>'Source data'!CG12</f>
        <v>13.900589721988204</v>
      </c>
      <c r="I13" s="45">
        <f>'Source data'!CU12</f>
        <v>23.897058823529413</v>
      </c>
      <c r="J13" s="45">
        <f>'Source data'!DI12</f>
        <v>17.055787278415014</v>
      </c>
      <c r="K13" s="45">
        <f>'Source data'!DW12</f>
        <v>31.385281385281385</v>
      </c>
      <c r="L13" s="45"/>
      <c r="M13" s="45"/>
      <c r="N13" s="3">
        <f t="shared" si="0"/>
        <v>41.519434628975262</v>
      </c>
      <c r="O13" s="3">
        <f t="shared" si="1"/>
        <v>22.611920628368999</v>
      </c>
      <c r="P13" s="3">
        <f t="shared" si="2"/>
        <v>11.208576998050681</v>
      </c>
      <c r="Q13" s="3">
        <f t="shared" si="3"/>
        <v>24.112709162408606</v>
      </c>
      <c r="R13" s="3">
        <f t="shared" si="4"/>
        <v>24.220534331848199</v>
      </c>
      <c r="S13" s="3">
        <f t="shared" si="5"/>
        <v>31.385281385281385</v>
      </c>
      <c r="T13" s="26">
        <f t="shared" si="6"/>
        <v>27.147318419573821</v>
      </c>
    </row>
    <row r="14" spans="1:20">
      <c r="B14" s="24">
        <f>'Source data'!C13</f>
        <v>6</v>
      </c>
      <c r="C14" s="45">
        <f>'Source data'!O13</f>
        <v>15.569395017793594</v>
      </c>
      <c r="D14" s="45">
        <f>'Source data'!AC13</f>
        <v>10.855847860538827</v>
      </c>
      <c r="E14" s="45">
        <f>'Source data'!AQ13</f>
        <v>26.666666666666668</v>
      </c>
      <c r="F14" s="45">
        <f>'Source data'!BE13</f>
        <v>28.990880782918147</v>
      </c>
      <c r="G14" s="45">
        <f>'Source data'!BS13</f>
        <v>36.319480102695763</v>
      </c>
      <c r="H14" s="45">
        <f>'Source data'!CG13</f>
        <v>12.258543833580982</v>
      </c>
      <c r="I14" s="45">
        <f>'Source data'!CU13</f>
        <v>44.082125603864739</v>
      </c>
      <c r="J14" s="45">
        <f>'Source data'!DI13</f>
        <v>35.723255813953493</v>
      </c>
      <c r="K14" s="45">
        <f>'Source data'!DW13</f>
        <v>33.234126984126988</v>
      </c>
      <c r="L14" s="45"/>
      <c r="M14" s="45"/>
      <c r="N14" s="3">
        <f t="shared" si="0"/>
        <v>44.082125603864739</v>
      </c>
      <c r="O14" s="3">
        <f t="shared" si="1"/>
        <v>27.077813629571022</v>
      </c>
      <c r="P14" s="3">
        <f t="shared" si="2"/>
        <v>10.855847860538827</v>
      </c>
      <c r="Q14" s="3">
        <f t="shared" si="3"/>
        <v>37.679836133981745</v>
      </c>
      <c r="R14" s="3">
        <f t="shared" si="4"/>
        <v>34.478691399040244</v>
      </c>
      <c r="S14" s="3">
        <f t="shared" si="5"/>
        <v>33.234126984126988</v>
      </c>
      <c r="T14" s="26">
        <f t="shared" si="6"/>
        <v>40.691124683790804</v>
      </c>
    </row>
    <row r="15" spans="1:20">
      <c r="B15" s="24">
        <f>'Source data'!C14</f>
        <v>7</v>
      </c>
      <c r="C15" s="45">
        <f>'Source data'!O14</f>
        <v>9.5759233926128591</v>
      </c>
      <c r="D15" s="45">
        <f>'Source data'!AC14</f>
        <v>21.985585197934594</v>
      </c>
      <c r="E15" s="45">
        <f>'Source data'!AQ14</f>
        <v>35.653650254668932</v>
      </c>
      <c r="F15" s="45">
        <f>'Source data'!BE14</f>
        <v>16.433255813953487</v>
      </c>
      <c r="G15" s="45">
        <f>'Source data'!BS14</f>
        <v>34.190949640287769</v>
      </c>
      <c r="H15" s="45">
        <f>'Source data'!CG14</f>
        <v>13.006885998469777</v>
      </c>
      <c r="I15" s="45">
        <f>'Source data'!CU14</f>
        <v>29.582366589327147</v>
      </c>
      <c r="J15" s="45">
        <f>'Source data'!DI14</f>
        <v>28.531185031185032</v>
      </c>
      <c r="K15" s="45">
        <f>'Source data'!DW14</f>
        <v>37.802419354838712</v>
      </c>
      <c r="L15" s="45"/>
      <c r="M15" s="45"/>
      <c r="N15" s="3">
        <f t="shared" si="0"/>
        <v>37.802419354838712</v>
      </c>
      <c r="O15" s="3">
        <f t="shared" si="1"/>
        <v>25.195802363697588</v>
      </c>
      <c r="P15" s="3">
        <f t="shared" si="2"/>
        <v>9.5759233926128591</v>
      </c>
      <c r="Q15" s="3">
        <f t="shared" si="3"/>
        <v>31.971990325116963</v>
      </c>
      <c r="R15" s="3">
        <f t="shared" si="4"/>
        <v>33.166802193011875</v>
      </c>
      <c r="S15" s="3">
        <f t="shared" si="5"/>
        <v>37.802419354838712</v>
      </c>
      <c r="T15" s="26">
        <f t="shared" si="6"/>
        <v>34.943622880571183</v>
      </c>
    </row>
    <row r="16" spans="1:20">
      <c r="B16" s="24">
        <f>'Source data'!C15</f>
        <v>8</v>
      </c>
      <c r="C16" s="45">
        <f>'Source data'!O15</f>
        <v>12.195121951219511</v>
      </c>
      <c r="D16" s="45">
        <f>'Source data'!AC15</f>
        <v>13.693270735524257</v>
      </c>
      <c r="E16" s="45">
        <f>'Source data'!AQ15</f>
        <v>26.541095890410958</v>
      </c>
      <c r="F16" s="45">
        <f>'Source data'!BE15</f>
        <v>16.368423344947736</v>
      </c>
      <c r="G16" s="45">
        <f>'Source data'!BS15</f>
        <v>25.848803009575924</v>
      </c>
      <c r="H16" s="45">
        <f>'Source data'!CG15</f>
        <v>12.112036336109009</v>
      </c>
      <c r="I16" s="45">
        <f>'Source data'!CU15</f>
        <v>36.342321219226264</v>
      </c>
      <c r="J16" s="45">
        <f>'Source data'!DI15</f>
        <v>40.765847347994821</v>
      </c>
      <c r="K16" s="45">
        <f>'Source data'!DW15</f>
        <v>29.230769230769234</v>
      </c>
      <c r="L16" s="45"/>
      <c r="M16" s="45"/>
      <c r="N16" s="3">
        <f t="shared" si="0"/>
        <v>40.765847347994821</v>
      </c>
      <c r="O16" s="3">
        <f t="shared" si="1"/>
        <v>23.677521007308634</v>
      </c>
      <c r="P16" s="3">
        <f t="shared" si="2"/>
        <v>12.112036336109009</v>
      </c>
      <c r="Q16" s="3">
        <f t="shared" si="3"/>
        <v>35.446312599330106</v>
      </c>
      <c r="R16" s="3">
        <f t="shared" si="4"/>
        <v>34.998308289382024</v>
      </c>
      <c r="S16" s="3">
        <f t="shared" si="5"/>
        <v>29.230769230769234</v>
      </c>
      <c r="T16" s="26">
        <f t="shared" si="6"/>
        <v>37.403052891008883</v>
      </c>
    </row>
    <row r="17" spans="2:20">
      <c r="B17" s="24">
        <f>'Source data'!C16</f>
        <v>9</v>
      </c>
      <c r="C17" s="45">
        <f>'Source data'!O16</f>
        <v>10.195758564437194</v>
      </c>
      <c r="D17" s="45">
        <f>'Source data'!AC16</f>
        <v>10.075222602739727</v>
      </c>
      <c r="E17" s="45">
        <f>'Source data'!AQ16</f>
        <v>66.420664206642073</v>
      </c>
      <c r="F17" s="45">
        <f>'Source data'!BE16</f>
        <v>19.726533442088094</v>
      </c>
      <c r="G17" s="45">
        <f>'Source data'!BS16</f>
        <v>47.36877931034482</v>
      </c>
      <c r="H17" s="45">
        <f>'Source data'!CG16</f>
        <v>16.185476815398076</v>
      </c>
      <c r="I17" s="45">
        <f>'Source data'!CU16</f>
        <v>40.417209908735337</v>
      </c>
      <c r="J17" s="45">
        <f>'Source data'!DI16</f>
        <v>37.33418891170431</v>
      </c>
      <c r="K17" s="45">
        <f>'Source data'!DW16</f>
        <v>39.045553145336228</v>
      </c>
      <c r="L17" s="45"/>
      <c r="M17" s="45"/>
      <c r="N17" s="3">
        <f t="shared" si="0"/>
        <v>66.420664206642073</v>
      </c>
      <c r="O17" s="3">
        <f t="shared" si="1"/>
        <v>31.863265211936209</v>
      </c>
      <c r="P17" s="3">
        <f t="shared" si="2"/>
        <v>10.075222602739727</v>
      </c>
      <c r="Q17" s="3">
        <f t="shared" si="3"/>
        <v>38.932317321925289</v>
      </c>
      <c r="R17" s="3">
        <f t="shared" si="4"/>
        <v>38.189871028520272</v>
      </c>
      <c r="S17" s="3">
        <f t="shared" si="5"/>
        <v>39.045553145336228</v>
      </c>
      <c r="T17" s="26">
        <f t="shared" si="6"/>
        <v>43.665607880934658</v>
      </c>
    </row>
    <row r="18" spans="2:20">
      <c r="B18" s="24">
        <f>'Source data'!C17</f>
        <v>10</v>
      </c>
      <c r="C18" s="45">
        <f>'Source data'!O17</f>
        <v>16.914191419141915</v>
      </c>
      <c r="D18" s="45">
        <f>'Source data'!AC17</f>
        <v>19.110133451957296</v>
      </c>
      <c r="E18" s="45">
        <f>'Source data'!AQ17</f>
        <v>88.951310861423224</v>
      </c>
      <c r="F18" s="45">
        <f>'Source data'!BE17</f>
        <v>17.696980198019801</v>
      </c>
      <c r="G18" s="45">
        <f>'Source data'!BS17</f>
        <v>37.92081288343558</v>
      </c>
      <c r="H18" s="45">
        <f>'Source data'!CG17</f>
        <v>20.111731843575416</v>
      </c>
      <c r="I18" s="45">
        <f>'Source data'!CU17</f>
        <v>41.807909604519772</v>
      </c>
      <c r="J18" s="45">
        <f>'Source data'!DI17</f>
        <v>48.87314172447968</v>
      </c>
      <c r="K18" s="45">
        <f>'Source data'!DW17</f>
        <v>44.486215538847119</v>
      </c>
      <c r="L18" s="45"/>
      <c r="M18" s="45"/>
      <c r="N18" s="3">
        <f t="shared" si="0"/>
        <v>88.951310861423224</v>
      </c>
      <c r="O18" s="3">
        <f t="shared" si="1"/>
        <v>37.319158613933318</v>
      </c>
      <c r="P18" s="3">
        <f t="shared" si="2"/>
        <v>16.914191419141915</v>
      </c>
      <c r="Q18" s="3">
        <f t="shared" si="3"/>
        <v>45.055755622615521</v>
      </c>
      <c r="R18" s="3">
        <f t="shared" si="4"/>
        <v>46.6796786316634</v>
      </c>
      <c r="S18" s="3">
        <f t="shared" si="5"/>
        <v>44.486215538847119</v>
      </c>
      <c r="T18" s="26">
        <f t="shared" si="6"/>
        <v>46.294581149611076</v>
      </c>
    </row>
    <row r="19" spans="2:20">
      <c r="B19" s="24">
        <f>'Source data'!C18</f>
        <v>11</v>
      </c>
      <c r="C19" s="45">
        <f>'Source data'!O18</f>
        <v>13.08664259927798</v>
      </c>
      <c r="D19" s="45">
        <f>'Source data'!AC18</f>
        <v>13.610943396226416</v>
      </c>
      <c r="E19" s="45">
        <f>'Source data'!AQ18</f>
        <v>32.101167315175097</v>
      </c>
      <c r="F19" s="45">
        <f>'Source data'!BE18</f>
        <v>19.282039711191334</v>
      </c>
      <c r="G19" s="45">
        <f>'Source data'!BS18</f>
        <v>37.107573726541553</v>
      </c>
      <c r="H19" s="45">
        <f>'Source data'!CG18</f>
        <v>22.213247172859454</v>
      </c>
      <c r="I19" s="45">
        <f>'Source data'!CU18</f>
        <v>30.321046373365043</v>
      </c>
      <c r="J19" s="45">
        <f>'Source data'!DI18</f>
        <v>31.107692307692307</v>
      </c>
      <c r="K19" s="45">
        <f>'Source data'!DW18</f>
        <v>32.955715756951598</v>
      </c>
      <c r="L19" s="45"/>
      <c r="M19" s="45"/>
      <c r="N19" s="3">
        <f t="shared" si="0"/>
        <v>37.107573726541553</v>
      </c>
      <c r="O19" s="3">
        <f t="shared" si="1"/>
        <v>25.754007595475645</v>
      </c>
      <c r="P19" s="3">
        <f t="shared" si="2"/>
        <v>13.08664259927798</v>
      </c>
      <c r="Q19" s="3">
        <f t="shared" si="3"/>
        <v>31.461484812669653</v>
      </c>
      <c r="R19" s="3">
        <f t="shared" si="4"/>
        <v>32.031704032321954</v>
      </c>
      <c r="S19" s="3">
        <f t="shared" si="5"/>
        <v>32.955715756951598</v>
      </c>
      <c r="T19" s="26">
        <f t="shared" si="6"/>
        <v>36.69879967407087</v>
      </c>
    </row>
    <row r="20" spans="2:20">
      <c r="B20" s="24">
        <f>'Source data'!C19</f>
        <v>12</v>
      </c>
      <c r="C20" s="45">
        <f>'Source data'!O19</f>
        <v>9.0759075907590763</v>
      </c>
      <c r="D20" s="45">
        <f>'Source data'!AC19</f>
        <v>12.277231404958679</v>
      </c>
      <c r="E20" s="45">
        <f>'Source data'!AQ19</f>
        <v>24.907749077490777</v>
      </c>
      <c r="F20" s="45">
        <f>'Source data'!BE19</f>
        <v>19.231724422442241</v>
      </c>
      <c r="G20" s="45">
        <f>'Source data'!BS19</f>
        <v>21.146899414062499</v>
      </c>
      <c r="H20" s="45">
        <f>'Source data'!CG19</f>
        <v>22.443890274314214</v>
      </c>
      <c r="I20" s="45">
        <f>'Source data'!CU19</f>
        <v>28.976572133168926</v>
      </c>
      <c r="J20" s="45">
        <f>'Source data'!DI19</f>
        <v>24.523605150214593</v>
      </c>
      <c r="K20" s="45">
        <f>'Source data'!DW19</f>
        <v>33.126293995859214</v>
      </c>
      <c r="L20" s="45"/>
      <c r="M20" s="45"/>
      <c r="N20" s="3">
        <f t="shared" si="0"/>
        <v>33.126293995859214</v>
      </c>
      <c r="O20" s="3">
        <f t="shared" si="1"/>
        <v>21.745541495918914</v>
      </c>
      <c r="P20" s="3">
        <f t="shared" si="2"/>
        <v>9.0759075907590763</v>
      </c>
      <c r="Q20" s="3">
        <f t="shared" si="3"/>
        <v>28.875490426414245</v>
      </c>
      <c r="R20" s="3">
        <f t="shared" si="4"/>
        <v>28.824949573036903</v>
      </c>
      <c r="S20" s="3">
        <f t="shared" si="5"/>
        <v>33.126293995859214</v>
      </c>
      <c r="T20" s="26">
        <f t="shared" si="6"/>
        <v>33.769748064201849</v>
      </c>
    </row>
    <row r="21" spans="2:20">
      <c r="B21" s="24">
        <f>'Source data'!C20</f>
        <v>13</v>
      </c>
      <c r="C21" s="45">
        <f>'Source data'!O20</f>
        <v>10.040160642570282</v>
      </c>
      <c r="D21" s="45">
        <f>'Source data'!AC20</f>
        <v>14.835035523978686</v>
      </c>
      <c r="E21" s="45">
        <f>'Source data'!AQ20</f>
        <v>54.794520547945204</v>
      </c>
      <c r="F21" s="45">
        <f>'Source data'!BE20</f>
        <v>20.609417670682731</v>
      </c>
      <c r="G21" s="45">
        <f>'Source data'!BS20</f>
        <v>22.354332925336596</v>
      </c>
      <c r="H21" s="45">
        <f>'Source data'!CG20</f>
        <v>19.828926905132192</v>
      </c>
      <c r="I21" s="45">
        <f>'Source data'!CU20</f>
        <v>28.940886699507388</v>
      </c>
      <c r="J21" s="45">
        <f>'Source data'!DI20</f>
        <v>24.765405405405406</v>
      </c>
      <c r="K21" s="45">
        <f>'Source data'!DW20</f>
        <v>20.529197080291972</v>
      </c>
      <c r="L21" s="45"/>
      <c r="M21" s="45"/>
      <c r="N21" s="3">
        <f t="shared" si="0"/>
        <v>54.794520547945204</v>
      </c>
      <c r="O21" s="3">
        <f t="shared" si="1"/>
        <v>24.077542600094496</v>
      </c>
      <c r="P21" s="3">
        <f t="shared" si="2"/>
        <v>10.040160642570282</v>
      </c>
      <c r="Q21" s="3">
        <f t="shared" si="3"/>
        <v>24.745163061734917</v>
      </c>
      <c r="R21" s="3">
        <f t="shared" si="4"/>
        <v>22.647301242848691</v>
      </c>
      <c r="S21" s="3">
        <f t="shared" si="5"/>
        <v>20.529197080291972</v>
      </c>
      <c r="T21" s="26">
        <f t="shared" si="6"/>
        <v>25.682500677822873</v>
      </c>
    </row>
    <row r="22" spans="2:20">
      <c r="B22" s="24">
        <f>'Source data'!C21</f>
        <v>14</v>
      </c>
      <c r="C22" s="45">
        <f>'Source data'!O21</f>
        <v>23.299748110831235</v>
      </c>
      <c r="D22" s="45">
        <f>'Source data'!AC21</f>
        <v>18.147840690978885</v>
      </c>
      <c r="E22" s="45">
        <f>'Source data'!AQ21</f>
        <v>38.525963149078727</v>
      </c>
      <c r="F22" s="45">
        <f>'Source data'!BE21</f>
        <v>37.985226700251886</v>
      </c>
      <c r="G22" s="45">
        <f>'Source data'!BS21</f>
        <v>31.670380085653104</v>
      </c>
      <c r="H22" s="45">
        <f>'Source data'!CG21</f>
        <v>20.598523124757094</v>
      </c>
      <c r="I22" s="45">
        <f>'Source data'!CU21</f>
        <v>56.356487549148099</v>
      </c>
      <c r="J22" s="45">
        <f>'Source data'!DI21</f>
        <v>26.573689416419388</v>
      </c>
      <c r="K22" s="45">
        <f>'Source data'!DW21</f>
        <v>42.630937880633375</v>
      </c>
      <c r="L22" s="45"/>
      <c r="M22" s="45"/>
      <c r="N22" s="3">
        <f t="shared" si="0"/>
        <v>56.356487549148099</v>
      </c>
      <c r="O22" s="3">
        <f t="shared" si="1"/>
        <v>32.865421856416866</v>
      </c>
      <c r="P22" s="3">
        <f t="shared" si="2"/>
        <v>18.147840690978885</v>
      </c>
      <c r="Q22" s="3">
        <f t="shared" si="3"/>
        <v>41.853704948733622</v>
      </c>
      <c r="R22" s="3">
        <f t="shared" si="4"/>
        <v>34.602313648526383</v>
      </c>
      <c r="S22" s="3">
        <f t="shared" si="5"/>
        <v>42.630937880633375</v>
      </c>
      <c r="T22" s="26">
        <f t="shared" si="6"/>
        <v>42.938476063098278</v>
      </c>
    </row>
    <row r="23" spans="2:20">
      <c r="B23" s="24">
        <f>'Source data'!C22</f>
        <v>15</v>
      </c>
      <c r="C23" s="45">
        <f>'Source data'!O22</f>
        <v>11.023622047244094</v>
      </c>
      <c r="D23" s="45">
        <f>'Source data'!AC22</f>
        <v>13.298267651888343</v>
      </c>
      <c r="E23" s="45">
        <f>'Source data'!AQ22</f>
        <v>43.522267206477736</v>
      </c>
      <c r="F23" s="45">
        <f>'Source data'!BE22</f>
        <v>17.506299212598424</v>
      </c>
      <c r="G23" s="45">
        <f>'Source data'!BS22</f>
        <v>21.862672322375396</v>
      </c>
      <c r="H23" s="45">
        <f>'Source data'!CG22</f>
        <v>21.775544388609717</v>
      </c>
      <c r="I23" s="45">
        <f>'Source data'!CU22</f>
        <v>43.062200956937801</v>
      </c>
      <c r="J23" s="45">
        <f>'Source data'!DI22</f>
        <v>29.913425925925925</v>
      </c>
      <c r="K23" s="45">
        <f>'Source data'!DW22</f>
        <v>34.849951597289447</v>
      </c>
      <c r="L23" s="45"/>
      <c r="M23" s="45"/>
      <c r="N23" s="3">
        <f t="shared" si="0"/>
        <v>43.522267206477736</v>
      </c>
      <c r="O23" s="3">
        <f t="shared" si="1"/>
        <v>26.312694589927432</v>
      </c>
      <c r="P23" s="3">
        <f t="shared" si="2"/>
        <v>11.023622047244094</v>
      </c>
      <c r="Q23" s="3">
        <f t="shared" si="3"/>
        <v>35.941859493384392</v>
      </c>
      <c r="R23" s="3">
        <f t="shared" si="4"/>
        <v>32.381688761607684</v>
      </c>
      <c r="S23" s="3">
        <f t="shared" si="5"/>
        <v>34.849951597289447</v>
      </c>
      <c r="T23" s="26">
        <f t="shared" si="6"/>
        <v>38.687686731529539</v>
      </c>
    </row>
    <row r="24" spans="2:20">
      <c r="B24" s="24">
        <f>'Source data'!C23</f>
        <v>16</v>
      </c>
      <c r="C24" s="45">
        <f>'Source data'!O23</f>
        <v>25.57755775577558</v>
      </c>
      <c r="D24" s="45">
        <f>'Source data'!AC23</f>
        <v>12.556845753899479</v>
      </c>
      <c r="E24" s="45">
        <f>'Source data'!AQ23</f>
        <v>31.896551724137929</v>
      </c>
      <c r="F24" s="45">
        <f>'Source data'!BE23</f>
        <v>21.073490099009902</v>
      </c>
      <c r="G24" s="45">
        <f>'Source data'!BS23</f>
        <v>35.798998493975901</v>
      </c>
      <c r="H24" s="45">
        <f>'Source data'!CG23</f>
        <v>24.740622505985634</v>
      </c>
      <c r="I24" s="45">
        <f>'Source data'!CU23</f>
        <v>38.508557457212717</v>
      </c>
      <c r="J24" s="45">
        <f>'Source data'!DI23</f>
        <v>34.753424657534246</v>
      </c>
      <c r="K24" s="45">
        <f>'Source data'!DW23</f>
        <v>37.5</v>
      </c>
      <c r="L24" s="45"/>
      <c r="M24" s="45"/>
      <c r="N24" s="3">
        <f t="shared" si="0"/>
        <v>38.508557457212717</v>
      </c>
      <c r="O24" s="3">
        <f t="shared" si="1"/>
        <v>29.15622760528127</v>
      </c>
      <c r="P24" s="3">
        <f t="shared" si="2"/>
        <v>12.556845753899479</v>
      </c>
      <c r="Q24" s="3">
        <f t="shared" si="3"/>
        <v>36.920660704915655</v>
      </c>
      <c r="R24" s="3">
        <f t="shared" si="4"/>
        <v>36.126712328767127</v>
      </c>
      <c r="S24" s="3">
        <f t="shared" si="5"/>
        <v>37.5</v>
      </c>
      <c r="T24" s="26">
        <f t="shared" si="6"/>
        <v>40.087115068691674</v>
      </c>
    </row>
    <row r="25" spans="2:20">
      <c r="B25" s="24">
        <f>'Source data'!C24</f>
        <v>17</v>
      </c>
      <c r="C25" s="45">
        <f>'Source data'!O24</f>
        <v>13.362068965517242</v>
      </c>
      <c r="D25" s="45">
        <f>'Source data'!AC24</f>
        <v>20.451670533642691</v>
      </c>
      <c r="E25" s="45">
        <f>'Source data'!AQ24</f>
        <v>27.918781725888326</v>
      </c>
      <c r="F25" s="45">
        <f>'Source data'!BE24</f>
        <v>16.192413793103448</v>
      </c>
      <c r="G25" s="45">
        <f>'Source data'!BS24</f>
        <v>23.695999999999998</v>
      </c>
      <c r="H25" s="45">
        <f>'Source data'!CG24</f>
        <v>19.681031557516118</v>
      </c>
      <c r="I25" s="45">
        <f>'Source data'!CU24</f>
        <v>24.975984630163307</v>
      </c>
      <c r="J25" s="45">
        <f>'Source data'!DI24</f>
        <v>23.162262156448204</v>
      </c>
      <c r="K25" s="45">
        <f>'Source data'!DW24</f>
        <v>24.636058230683091</v>
      </c>
      <c r="L25" s="45"/>
      <c r="M25" s="45"/>
      <c r="N25" s="3">
        <f t="shared" si="0"/>
        <v>27.918781725888326</v>
      </c>
      <c r="O25" s="3">
        <f t="shared" si="1"/>
        <v>21.564030176995825</v>
      </c>
      <c r="P25" s="3">
        <f t="shared" si="2"/>
        <v>13.362068965517242</v>
      </c>
      <c r="Q25" s="3">
        <f t="shared" si="3"/>
        <v>24.258101672431536</v>
      </c>
      <c r="R25" s="3">
        <f t="shared" si="4"/>
        <v>23.899160193565649</v>
      </c>
      <c r="S25" s="3">
        <f t="shared" si="5"/>
        <v>24.636058230683091</v>
      </c>
      <c r="T25" s="26">
        <f t="shared" si="6"/>
        <v>25.799926468832609</v>
      </c>
    </row>
    <row r="26" spans="2:20">
      <c r="B26" s="24">
        <f>'Source data'!C25</f>
        <v>18</v>
      </c>
      <c r="C26" s="45">
        <f>'Source data'!O25</f>
        <v>20.01703577512777</v>
      </c>
      <c r="D26" s="45">
        <f>'Source data'!AC25</f>
        <v>25.226500938086303</v>
      </c>
      <c r="E26" s="45">
        <f>'Source data'!AQ25</f>
        <v>25.754884547069274</v>
      </c>
      <c r="F26" s="45">
        <f>'Source data'!BE25</f>
        <v>23.562197614991483</v>
      </c>
      <c r="G26" s="45">
        <f>'Source data'!BS25</f>
        <v>34.629291617473442</v>
      </c>
      <c r="H26" s="45">
        <f>'Source data'!CG25</f>
        <v>27.108274355613801</v>
      </c>
      <c r="I26" s="45">
        <f>'Source data'!CU25</f>
        <v>49.365303244005638</v>
      </c>
      <c r="J26" s="45">
        <f>'Source data'!DI25</f>
        <v>34.784388646288214</v>
      </c>
      <c r="K26" s="45">
        <f>'Source data'!DW25</f>
        <v>41.988950276243095</v>
      </c>
      <c r="L26" s="45"/>
      <c r="M26" s="45"/>
      <c r="N26" s="3">
        <f t="shared" si="0"/>
        <v>49.365303244005638</v>
      </c>
      <c r="O26" s="3">
        <f t="shared" si="1"/>
        <v>31.381869668322111</v>
      </c>
      <c r="P26" s="3">
        <f t="shared" si="2"/>
        <v>20.01703577512777</v>
      </c>
      <c r="Q26" s="3">
        <f t="shared" si="3"/>
        <v>42.046214055512316</v>
      </c>
      <c r="R26" s="3">
        <f t="shared" si="4"/>
        <v>38.386669461265654</v>
      </c>
      <c r="S26" s="3">
        <f t="shared" si="5"/>
        <v>41.988950276243095</v>
      </c>
      <c r="T26" s="26">
        <f t="shared" si="6"/>
        <v>45.325889273618486</v>
      </c>
    </row>
    <row r="27" spans="2:20">
      <c r="B27" s="24">
        <f>'Source data'!C26</f>
        <v>19</v>
      </c>
      <c r="C27" s="45">
        <f>'Source data'!O26</f>
        <v>12.664165103189493</v>
      </c>
      <c r="D27" s="45">
        <f>'Source data'!AC26</f>
        <v>13.837316341829085</v>
      </c>
      <c r="E27" s="45">
        <f>'Source data'!AQ26</f>
        <v>67.592592592592595</v>
      </c>
      <c r="F27" s="45">
        <f>'Source data'!BE26</f>
        <v>15.734052532833022</v>
      </c>
      <c r="G27" s="45">
        <f>'Source data'!BS26</f>
        <v>27.471177184466018</v>
      </c>
      <c r="H27" s="45">
        <f>'Source data'!CG26</f>
        <v>20.768774703557312</v>
      </c>
      <c r="I27" s="45">
        <f>'Source data'!CU26</f>
        <v>31.865585168018541</v>
      </c>
      <c r="J27" s="45">
        <f>'Source data'!DI26</f>
        <v>37.29032258064516</v>
      </c>
      <c r="K27" s="45">
        <f>'Source data'!DW26</f>
        <v>37.703016241299302</v>
      </c>
      <c r="L27" s="45"/>
      <c r="M27" s="45"/>
      <c r="N27" s="3">
        <f t="shared" si="0"/>
        <v>67.592592592592595</v>
      </c>
      <c r="O27" s="3">
        <f t="shared" si="1"/>
        <v>29.436333605381169</v>
      </c>
      <c r="P27" s="3">
        <f t="shared" si="2"/>
        <v>12.664165103189493</v>
      </c>
      <c r="Q27" s="3">
        <f t="shared" si="3"/>
        <v>35.619641329987672</v>
      </c>
      <c r="R27" s="3">
        <f t="shared" si="4"/>
        <v>37.496669410972231</v>
      </c>
      <c r="S27" s="3">
        <f t="shared" si="5"/>
        <v>37.703016241299302</v>
      </c>
      <c r="T27" s="26">
        <f t="shared" si="6"/>
        <v>38.110927821253426</v>
      </c>
    </row>
    <row r="28" spans="2:20">
      <c r="B28" s="24">
        <f>'Source data'!C27</f>
        <v>20</v>
      </c>
      <c r="C28" s="45">
        <f>'Source data'!O27</f>
        <v>12.128325508607199</v>
      </c>
      <c r="D28" s="45">
        <f>'Source data'!AC27</f>
        <v>11.405700197238659</v>
      </c>
      <c r="E28" s="45">
        <f>'Source data'!AQ27</f>
        <v>28.205128205128208</v>
      </c>
      <c r="F28" s="45">
        <f>'Source data'!BE27</f>
        <v>16.636103286384976</v>
      </c>
      <c r="G28" s="45">
        <f>'Source data'!BS27</f>
        <v>28.026097560975611</v>
      </c>
      <c r="H28" s="45">
        <f>'Source data'!CG27</f>
        <v>23.696898981989037</v>
      </c>
      <c r="I28" s="45">
        <f>'Source data'!CU27</f>
        <v>34.522439585730723</v>
      </c>
      <c r="J28" s="45">
        <f>'Source data'!DI27</f>
        <v>34.928205128205128</v>
      </c>
      <c r="K28" s="45">
        <f>'Source data'!DW27</f>
        <v>31.639004149377595</v>
      </c>
      <c r="L28" s="45"/>
      <c r="M28" s="45"/>
      <c r="N28" s="3">
        <f t="shared" si="0"/>
        <v>34.928205128205128</v>
      </c>
      <c r="O28" s="3">
        <f t="shared" si="1"/>
        <v>24.57643362262635</v>
      </c>
      <c r="P28" s="3">
        <f t="shared" si="2"/>
        <v>11.405700197238659</v>
      </c>
      <c r="Q28" s="3">
        <f t="shared" si="3"/>
        <v>33.696549621104481</v>
      </c>
      <c r="R28" s="3">
        <f t="shared" si="4"/>
        <v>33.28360463879136</v>
      </c>
      <c r="S28" s="3">
        <f t="shared" si="5"/>
        <v>31.639004149377595</v>
      </c>
      <c r="T28" s="26">
        <f t="shared" si="6"/>
        <v>38.601904273692526</v>
      </c>
    </row>
    <row r="29" spans="2:20">
      <c r="B29" s="24">
        <f>'Source data'!C28</f>
        <v>21</v>
      </c>
      <c r="C29" s="45">
        <f>'Source data'!O28</f>
        <v>7.3189522342064723</v>
      </c>
      <c r="D29" s="45">
        <f>'Source data'!AC28</f>
        <v>13.740526785714284</v>
      </c>
      <c r="E29" s="45">
        <f>'Source data'!AQ28</f>
        <v>25.616698292220114</v>
      </c>
      <c r="F29" s="45">
        <f>'Source data'!BE28</f>
        <v>14.163104776579353</v>
      </c>
      <c r="G29" s="45">
        <f>'Source data'!BS28</f>
        <v>27.388705808080807</v>
      </c>
      <c r="H29" s="45">
        <f>'Source data'!CG28</f>
        <v>25.730043782837129</v>
      </c>
      <c r="I29" s="45">
        <f>'Source data'!CU28</f>
        <v>32.93010752688172</v>
      </c>
      <c r="J29" s="45">
        <f>'Source data'!DI28</f>
        <v>37.838709677419359</v>
      </c>
      <c r="K29" s="45">
        <f>'Source data'!DW28</f>
        <v>29.479768786127167</v>
      </c>
      <c r="L29" s="45"/>
      <c r="M29" s="45"/>
      <c r="N29" s="3">
        <f t="shared" si="0"/>
        <v>37.838709677419359</v>
      </c>
      <c r="O29" s="3">
        <f t="shared" si="1"/>
        <v>23.800735296674045</v>
      </c>
      <c r="P29" s="3">
        <f t="shared" si="2"/>
        <v>7.3189522342064723</v>
      </c>
      <c r="Q29" s="3">
        <f t="shared" si="3"/>
        <v>33.416195330142749</v>
      </c>
      <c r="R29" s="3">
        <f t="shared" si="4"/>
        <v>33.659239231773263</v>
      </c>
      <c r="S29" s="3">
        <f t="shared" si="5"/>
        <v>29.479768786127167</v>
      </c>
      <c r="T29" s="26">
        <f t="shared" si="6"/>
        <v>39.395032993205859</v>
      </c>
    </row>
    <row r="30" spans="2:20">
      <c r="B30" s="24">
        <f>'Source data'!C29</f>
        <v>22</v>
      </c>
      <c r="C30" s="45">
        <f>'Source data'!O29</f>
        <v>13.613861386138614</v>
      </c>
      <c r="D30" s="45">
        <f>'Source data'!AC29</f>
        <v>10.651234939759037</v>
      </c>
      <c r="E30" s="45">
        <f>'Source data'!AQ29</f>
        <v>52.699228791773777</v>
      </c>
      <c r="F30" s="45">
        <f>'Source data'!BE29</f>
        <v>20.461324257425744</v>
      </c>
      <c r="G30" s="45">
        <f>'Source data'!BS29</f>
        <v>30.578958691910501</v>
      </c>
      <c r="H30" s="45">
        <f>'Source data'!CG29</f>
        <v>22.972077922077922</v>
      </c>
      <c r="I30" s="45">
        <f>'Source data'!CU29</f>
        <v>28.03129074315515</v>
      </c>
      <c r="J30" s="45">
        <f>'Source data'!DI29</f>
        <v>19.721945137157107</v>
      </c>
      <c r="K30" s="45">
        <f>'Source data'!DW29</f>
        <v>38.770053475935832</v>
      </c>
      <c r="L30" s="45"/>
      <c r="M30" s="45"/>
      <c r="N30" s="3">
        <f t="shared" si="0"/>
        <v>52.699228791773777</v>
      </c>
      <c r="O30" s="3">
        <f t="shared" si="1"/>
        <v>26.388886149481522</v>
      </c>
      <c r="P30" s="3">
        <f t="shared" si="2"/>
        <v>10.651234939759037</v>
      </c>
      <c r="Q30" s="3">
        <f t="shared" si="3"/>
        <v>28.841096452082695</v>
      </c>
      <c r="R30" s="3">
        <f t="shared" si="4"/>
        <v>29.245999306546469</v>
      </c>
      <c r="S30" s="3">
        <f t="shared" si="5"/>
        <v>38.770053475935832</v>
      </c>
      <c r="T30" s="26">
        <f t="shared" si="6"/>
        <v>33.139867526047965</v>
      </c>
    </row>
    <row r="31" spans="2:20">
      <c r="B31" s="24">
        <f>'Source data'!C30</f>
        <v>23</v>
      </c>
      <c r="C31" s="45">
        <f>'Source data'!O30</f>
        <v>18.542199488491047</v>
      </c>
      <c r="D31" s="45">
        <f>'Source data'!AC30</f>
        <v>19.278773584905661</v>
      </c>
      <c r="E31" s="45">
        <f>'Source data'!AQ30</f>
        <v>33.957845433255272</v>
      </c>
      <c r="F31" s="45">
        <f>'Source data'!BE30</f>
        <v>26.389961636828644</v>
      </c>
      <c r="G31" s="45">
        <f>'Source data'!BS30</f>
        <v>36.343897928994082</v>
      </c>
      <c r="H31" s="45">
        <f>'Source data'!CG30</f>
        <v>26.109569620253165</v>
      </c>
      <c r="I31" s="45">
        <f>'Source data'!CU30</f>
        <v>73.991031390134523</v>
      </c>
      <c r="J31" s="45">
        <f>'Source data'!DI30</f>
        <v>59.840876944837341</v>
      </c>
      <c r="K31" s="45">
        <f>'Source data'!DW30</f>
        <v>59.540889526542323</v>
      </c>
      <c r="L31" s="45"/>
      <c r="M31" s="45"/>
      <c r="N31" s="3">
        <f t="shared" ref="N31:N48" si="7">MAX(C31:J31)</f>
        <v>73.991031390134523</v>
      </c>
      <c r="O31" s="3">
        <f t="shared" ref="O31:O48" si="8">AVERAGE(C31:J31)</f>
        <v>36.806769503462469</v>
      </c>
      <c r="P31" s="3">
        <f t="shared" ref="P31:P48" si="9">MIN(C31:J31)</f>
        <v>18.542199488491047</v>
      </c>
      <c r="Q31" s="3">
        <f t="shared" ref="Q31:Q48" si="10">AVERAGE(H31:J31)</f>
        <v>53.313825985075006</v>
      </c>
      <c r="R31" s="3">
        <f t="shared" ref="R31:R48" si="11">AVERAGE(I31:J31)</f>
        <v>66.915954167485935</v>
      </c>
      <c r="S31" s="3">
        <f t="shared" ref="S31:S48" si="12">J31</f>
        <v>59.840876944837341</v>
      </c>
      <c r="T31" s="26">
        <f t="shared" ref="T31:T48" si="13">TREND(C31:J31,$C$8:$J$8,$K$8)</f>
        <v>66.220759150270169</v>
      </c>
    </row>
    <row r="32" spans="2:20">
      <c r="B32" s="24">
        <f>'Source data'!C31</f>
        <v>24</v>
      </c>
      <c r="C32" s="45">
        <f>'Source data'!O31</f>
        <v>13.925729442970821</v>
      </c>
      <c r="D32" s="45">
        <f>'Source data'!AC31</f>
        <v>17.728518518518516</v>
      </c>
      <c r="E32" s="45">
        <f>'Source data'!AQ31</f>
        <v>41.095890410958908</v>
      </c>
      <c r="F32" s="45">
        <f>'Source data'!BE31</f>
        <v>24.181153846153844</v>
      </c>
      <c r="G32" s="45">
        <f>'Source data'!BS31</f>
        <v>39.265621621621619</v>
      </c>
      <c r="H32" s="45">
        <f>'Source data'!CG31</f>
        <v>29.017551462621885</v>
      </c>
      <c r="I32" s="45">
        <f>'Source data'!CU31</f>
        <v>37.480063795853269</v>
      </c>
      <c r="J32" s="45">
        <f>'Source data'!DI31</f>
        <v>33.157018813314039</v>
      </c>
      <c r="K32" s="45">
        <f>'Source data'!DW31</f>
        <v>43.571428571428569</v>
      </c>
      <c r="L32" s="45"/>
      <c r="M32" s="45"/>
      <c r="N32" s="3">
        <f t="shared" si="7"/>
        <v>41.095890410958908</v>
      </c>
      <c r="O32" s="3">
        <f t="shared" si="8"/>
        <v>29.481443489001613</v>
      </c>
      <c r="P32" s="3">
        <f t="shared" si="9"/>
        <v>13.925729442970821</v>
      </c>
      <c r="Q32" s="3">
        <f t="shared" si="10"/>
        <v>33.218211357263066</v>
      </c>
      <c r="R32" s="3">
        <f t="shared" si="11"/>
        <v>35.318541304583654</v>
      </c>
      <c r="S32" s="3">
        <f t="shared" si="12"/>
        <v>33.157018813314039</v>
      </c>
      <c r="T32" s="26">
        <f t="shared" si="13"/>
        <v>40.850704359155316</v>
      </c>
    </row>
    <row r="33" spans="2:20">
      <c r="B33" s="24">
        <f>'Source data'!C32</f>
        <v>25</v>
      </c>
      <c r="C33" s="45">
        <f>'Source data'!O32</f>
        <v>12.266355140186915</v>
      </c>
      <c r="D33" s="45">
        <f>'Source data'!AC32</f>
        <v>19.69368070953437</v>
      </c>
      <c r="E33" s="45">
        <f>'Source data'!AQ32</f>
        <v>45.576407506702409</v>
      </c>
      <c r="F33" s="45">
        <f>'Source data'!BE32</f>
        <v>23.971553738317759</v>
      </c>
      <c r="G33" s="45">
        <f>'Source data'!BS32</f>
        <v>40.963195488721801</v>
      </c>
      <c r="H33" s="45">
        <f>'Source data'!CG32</f>
        <v>29.76391694725028</v>
      </c>
      <c r="I33" s="45">
        <f>'Source data'!CU32</f>
        <v>34.596375617792418</v>
      </c>
      <c r="J33" s="45">
        <f>'Source data'!DI32</f>
        <v>32.56707317073171</v>
      </c>
      <c r="K33" s="45">
        <f>'Source data'!DW32</f>
        <v>74.305555555555557</v>
      </c>
      <c r="L33" s="45"/>
      <c r="M33" s="45"/>
      <c r="N33" s="3">
        <f t="shared" si="7"/>
        <v>45.576407506702409</v>
      </c>
      <c r="O33" s="3">
        <f t="shared" si="8"/>
        <v>29.92481978990471</v>
      </c>
      <c r="P33" s="3">
        <f t="shared" si="9"/>
        <v>12.266355140186915</v>
      </c>
      <c r="Q33" s="3">
        <f t="shared" si="10"/>
        <v>32.309121911924798</v>
      </c>
      <c r="R33" s="3">
        <f t="shared" si="11"/>
        <v>33.581724394262068</v>
      </c>
      <c r="S33" s="3">
        <f t="shared" si="12"/>
        <v>32.56707317073171</v>
      </c>
      <c r="T33" s="26">
        <f t="shared" si="13"/>
        <v>39.898355727073977</v>
      </c>
    </row>
    <row r="34" spans="2:20">
      <c r="B34" s="24">
        <f>'Source data'!C33</f>
        <v>26</v>
      </c>
      <c r="C34" s="45">
        <f>'Source data'!O33</f>
        <v>14.861995753715499</v>
      </c>
      <c r="D34" s="45">
        <f>'Source data'!AC33</f>
        <v>17.673769230769231</v>
      </c>
      <c r="E34" s="45">
        <f>'Source data'!AQ33</f>
        <v>36.956521739130437</v>
      </c>
      <c r="F34" s="45">
        <f>'Source data'!BE33</f>
        <v>28.109872611464969</v>
      </c>
      <c r="G34" s="45">
        <f>'Source data'!BS33</f>
        <v>31.824010327022378</v>
      </c>
      <c r="H34" s="45">
        <f>'Source data'!CG33</f>
        <v>37.2201222901612</v>
      </c>
      <c r="I34" s="45">
        <f>'Source data'!CU33</f>
        <v>46.58901830282862</v>
      </c>
      <c r="J34" s="45">
        <f>'Source data'!DI33</f>
        <v>45.436708860759495</v>
      </c>
      <c r="K34" s="45">
        <f>'Source data'!DW33</f>
        <v>66.934404283801868</v>
      </c>
      <c r="L34" s="45"/>
      <c r="M34" s="45"/>
      <c r="N34" s="3">
        <f t="shared" si="7"/>
        <v>46.58901830282862</v>
      </c>
      <c r="O34" s="3">
        <f t="shared" si="8"/>
        <v>32.334002389481476</v>
      </c>
      <c r="P34" s="3">
        <f t="shared" si="9"/>
        <v>14.861995753715499</v>
      </c>
      <c r="Q34" s="3">
        <f t="shared" si="10"/>
        <v>43.081949817916438</v>
      </c>
      <c r="R34" s="3">
        <f t="shared" si="11"/>
        <v>46.012863581794058</v>
      </c>
      <c r="S34" s="3">
        <f t="shared" si="12"/>
        <v>45.436708860759495</v>
      </c>
      <c r="T34" s="26">
        <f t="shared" si="13"/>
        <v>51.786011843672895</v>
      </c>
    </row>
    <row r="35" spans="2:20">
      <c r="B35" s="24">
        <f>'Source data'!C34</f>
        <v>27</v>
      </c>
      <c r="C35" s="45">
        <f>'Source data'!O34</f>
        <v>15.625</v>
      </c>
      <c r="D35" s="45">
        <f>'Source data'!AC34</f>
        <v>21.692933070866143</v>
      </c>
      <c r="E35" s="45">
        <f>'Source data'!AQ34</f>
        <v>42.600896860986545</v>
      </c>
      <c r="F35" s="45">
        <f>'Source data'!BE34</f>
        <v>26.894466145833334</v>
      </c>
      <c r="G35" s="45">
        <f>'Source data'!BS34</f>
        <v>34.856727430555551</v>
      </c>
      <c r="H35" s="45">
        <f>'Source data'!CG34</f>
        <v>25.680478087649401</v>
      </c>
      <c r="I35" s="45">
        <f>'Source data'!CU34</f>
        <v>39.589442815249264</v>
      </c>
      <c r="J35" s="45">
        <f>'Source data'!DI34</f>
        <v>44.539625360230545</v>
      </c>
      <c r="K35" s="45">
        <f>'Source data'!DW34</f>
        <v>57.692307692307693</v>
      </c>
      <c r="L35" s="45"/>
      <c r="M35" s="45"/>
      <c r="N35" s="3">
        <f t="shared" si="7"/>
        <v>44.539625360230545</v>
      </c>
      <c r="O35" s="3">
        <f t="shared" si="8"/>
        <v>31.434946221421349</v>
      </c>
      <c r="P35" s="3">
        <f t="shared" si="9"/>
        <v>15.625</v>
      </c>
      <c r="Q35" s="3">
        <f t="shared" si="10"/>
        <v>36.603182087709733</v>
      </c>
      <c r="R35" s="3">
        <f t="shared" si="11"/>
        <v>42.064534087739901</v>
      </c>
      <c r="S35" s="3">
        <f t="shared" si="12"/>
        <v>44.539625360230545</v>
      </c>
      <c r="T35" s="26">
        <f t="shared" si="13"/>
        <v>44.778835393291047</v>
      </c>
    </row>
    <row r="36" spans="2:20">
      <c r="B36" s="24">
        <f>'Source data'!C35</f>
        <v>28</v>
      </c>
      <c r="C36" s="45">
        <f>'Source data'!O35</f>
        <v>19.315673289183223</v>
      </c>
      <c r="D36" s="45">
        <f>'Source data'!AC35</f>
        <v>16.07949790794979</v>
      </c>
      <c r="E36" s="45">
        <f>'Source data'!AQ35</f>
        <v>66.304347826086968</v>
      </c>
      <c r="F36" s="45">
        <f>'Source data'!BE35</f>
        <v>24.276545253863134</v>
      </c>
      <c r="G36" s="45">
        <f>'Source data'!BS35</f>
        <v>36.927394480519482</v>
      </c>
      <c r="H36" s="45">
        <f>'Source data'!CG35</f>
        <v>27.361899845121322</v>
      </c>
      <c r="I36" s="45">
        <f>'Source data'!CU35</f>
        <v>29.761904761904763</v>
      </c>
      <c r="J36" s="45">
        <f>'Source data'!DI35</f>
        <v>30.571530758226036</v>
      </c>
      <c r="K36" s="45">
        <f>'Source data'!DW35</f>
        <v>52.478134110787174</v>
      </c>
      <c r="L36" s="45"/>
      <c r="M36" s="45"/>
      <c r="N36" s="3">
        <f t="shared" si="7"/>
        <v>66.304347826086968</v>
      </c>
      <c r="O36" s="3">
        <f t="shared" si="8"/>
        <v>31.324849265356839</v>
      </c>
      <c r="P36" s="3">
        <f t="shared" si="9"/>
        <v>16.07949790794979</v>
      </c>
      <c r="Q36" s="3">
        <f t="shared" si="10"/>
        <v>29.23177845508404</v>
      </c>
      <c r="R36" s="3">
        <f t="shared" si="11"/>
        <v>30.166717760065399</v>
      </c>
      <c r="S36" s="3">
        <f t="shared" si="12"/>
        <v>30.571530758226036</v>
      </c>
      <c r="T36" s="26">
        <f t="shared" si="13"/>
        <v>33.629842578044304</v>
      </c>
    </row>
    <row r="37" spans="2:20">
      <c r="B37" s="24">
        <f>'Source data'!C36</f>
        <v>29</v>
      </c>
      <c r="C37" s="45">
        <f>'Source data'!O36</f>
        <v>10.071090047393366</v>
      </c>
      <c r="D37" s="45">
        <f>'Source data'!AC36</f>
        <v>17.689049773755656</v>
      </c>
      <c r="E37" s="45">
        <f>'Source data'!AQ36</f>
        <v>58.760683760683762</v>
      </c>
      <c r="F37" s="45">
        <f>'Source data'!BE36</f>
        <v>24.248009478672984</v>
      </c>
      <c r="G37" s="45">
        <f>'Source data'!BS36</f>
        <v>40.291505376344084</v>
      </c>
      <c r="H37" s="45">
        <f>'Source data'!CG36</f>
        <v>27.305512622359608</v>
      </c>
      <c r="I37" s="45">
        <f>'Source data'!CU36</f>
        <v>50.3003003003003</v>
      </c>
      <c r="J37" s="45">
        <f>'Source data'!DI36</f>
        <v>48.147014925373135</v>
      </c>
      <c r="K37" s="45">
        <f>'Source data'!DW36</f>
        <v>42.857142857142854</v>
      </c>
      <c r="L37" s="45"/>
      <c r="M37" s="45"/>
      <c r="N37" s="3">
        <f t="shared" si="7"/>
        <v>58.760683760683762</v>
      </c>
      <c r="O37" s="3">
        <f t="shared" si="8"/>
        <v>34.601645785610366</v>
      </c>
      <c r="P37" s="3">
        <f t="shared" si="9"/>
        <v>10.071090047393366</v>
      </c>
      <c r="Q37" s="3">
        <f t="shared" si="10"/>
        <v>41.917609282677681</v>
      </c>
      <c r="R37" s="3">
        <f t="shared" si="11"/>
        <v>49.223657612836718</v>
      </c>
      <c r="S37" s="3">
        <f t="shared" si="12"/>
        <v>48.147014925373135</v>
      </c>
      <c r="T37" s="26">
        <f t="shared" si="13"/>
        <v>53.419451638894316</v>
      </c>
    </row>
    <row r="38" spans="2:20">
      <c r="B38" s="24">
        <f>'Source data'!C37</f>
        <v>30</v>
      </c>
      <c r="C38" s="45">
        <f>'Source data'!O37</f>
        <v>14.671361502347418</v>
      </c>
      <c r="D38" s="45">
        <f>'Source data'!AC37</f>
        <v>15.684132882882883</v>
      </c>
      <c r="E38" s="45">
        <f>'Source data'!AQ37</f>
        <v>27</v>
      </c>
      <c r="F38" s="45">
        <f>'Source data'!BE37</f>
        <v>25.051443661971835</v>
      </c>
      <c r="G38" s="45">
        <f>'Source data'!BS37</f>
        <v>35.460872881355932</v>
      </c>
      <c r="H38" s="45">
        <f>'Source data'!CG37</f>
        <v>27.935851008794621</v>
      </c>
      <c r="I38" s="45">
        <f>'Source data'!CU37</f>
        <v>33.236994219653177</v>
      </c>
      <c r="J38" s="45">
        <f>'Source data'!DI37</f>
        <v>42.269746646795831</v>
      </c>
      <c r="K38" s="45">
        <f>'Source data'!DW37</f>
        <v>46.65629860031104</v>
      </c>
      <c r="L38" s="45"/>
      <c r="M38" s="45"/>
      <c r="N38" s="3">
        <f t="shared" si="7"/>
        <v>42.269746646795831</v>
      </c>
      <c r="O38" s="3">
        <f t="shared" si="8"/>
        <v>27.663800350475213</v>
      </c>
      <c r="P38" s="3">
        <f t="shared" si="9"/>
        <v>14.671361502347418</v>
      </c>
      <c r="Q38" s="3">
        <f t="shared" si="10"/>
        <v>34.480863958414545</v>
      </c>
      <c r="R38" s="3">
        <f t="shared" si="11"/>
        <v>37.753370433224504</v>
      </c>
      <c r="S38" s="3">
        <f t="shared" si="12"/>
        <v>42.269746646795831</v>
      </c>
      <c r="T38" s="26">
        <f t="shared" si="13"/>
        <v>43.422906686587339</v>
      </c>
    </row>
    <row r="39" spans="2:20">
      <c r="B39" s="24">
        <f>'Source data'!C38</f>
        <v>31</v>
      </c>
      <c r="C39" s="45">
        <f>'Source data'!O38</f>
        <v>12.913223140495868</v>
      </c>
      <c r="D39" s="45">
        <f>'Source data'!AC38</f>
        <v>29.345458167330676</v>
      </c>
      <c r="E39" s="45">
        <f>'Source data'!AQ38</f>
        <v>54.147465437788021</v>
      </c>
      <c r="F39" s="45">
        <f>'Source data'!BE38</f>
        <v>19.653150826446279</v>
      </c>
      <c r="G39" s="45">
        <f>'Source data'!BS38</f>
        <v>32.753068739770868</v>
      </c>
      <c r="H39" s="45">
        <f>'Source data'!CG38</f>
        <v>28.65013774104683</v>
      </c>
      <c r="I39" s="45">
        <f>'Source data'!CU38</f>
        <v>38.398692810457518</v>
      </c>
      <c r="J39" s="45">
        <f>'Source data'!DI38</f>
        <v>30.11304347826087</v>
      </c>
      <c r="K39" s="45"/>
      <c r="L39" s="45"/>
      <c r="M39" s="45"/>
      <c r="N39" s="3">
        <f t="shared" si="7"/>
        <v>54.147465437788021</v>
      </c>
      <c r="O39" s="3">
        <f t="shared" si="8"/>
        <v>30.746780042699612</v>
      </c>
      <c r="P39" s="3">
        <f t="shared" si="9"/>
        <v>12.913223140495868</v>
      </c>
      <c r="Q39" s="3">
        <f t="shared" si="10"/>
        <v>32.387291343255072</v>
      </c>
      <c r="R39" s="3">
        <f t="shared" si="11"/>
        <v>34.255868144359198</v>
      </c>
      <c r="S39" s="3">
        <f t="shared" si="12"/>
        <v>30.11304347826087</v>
      </c>
      <c r="T39" s="26">
        <f t="shared" si="13"/>
        <v>36.225682742865501</v>
      </c>
    </row>
    <row r="40" spans="2:20">
      <c r="B40" s="24">
        <f>'Source data'!C39</f>
        <v>32</v>
      </c>
      <c r="C40" s="45">
        <f>'Source data'!O39</f>
        <v>10.256410256410257</v>
      </c>
      <c r="D40" s="45">
        <f>'Source data'!AC39</f>
        <v>21.332858974358974</v>
      </c>
      <c r="E40" s="45">
        <f>'Source data'!AQ39</f>
        <v>33.396946564885496</v>
      </c>
      <c r="F40" s="45">
        <f>'Source data'!BE39</f>
        <v>30.990628205128203</v>
      </c>
      <c r="G40" s="45">
        <f>'Source data'!BS39</f>
        <v>36.442173913043483</v>
      </c>
      <c r="H40" s="45">
        <f>'Source data'!CG39</f>
        <v>31.303947963800905</v>
      </c>
      <c r="I40" s="45">
        <f>'Source data'!CU39</f>
        <v>42.735042735042732</v>
      </c>
      <c r="J40" s="45">
        <f>'Source data'!DI39</f>
        <v>43.596394984326018</v>
      </c>
      <c r="K40" s="45"/>
      <c r="L40" s="45"/>
      <c r="M40" s="45"/>
      <c r="N40" s="3">
        <f t="shared" si="7"/>
        <v>43.596394984326018</v>
      </c>
      <c r="O40" s="3">
        <f t="shared" si="8"/>
        <v>31.25680044962451</v>
      </c>
      <c r="P40" s="3">
        <f t="shared" si="9"/>
        <v>10.256410256410257</v>
      </c>
      <c r="Q40" s="3">
        <f t="shared" si="10"/>
        <v>39.211795227723222</v>
      </c>
      <c r="R40" s="3">
        <f t="shared" si="11"/>
        <v>43.165718859684375</v>
      </c>
      <c r="S40" s="3">
        <f t="shared" si="12"/>
        <v>43.596394984326018</v>
      </c>
      <c r="T40" s="26">
        <f t="shared" si="13"/>
        <v>49.447694831954323</v>
      </c>
    </row>
    <row r="41" spans="2:20">
      <c r="B41" s="24">
        <f>'Source data'!C40</f>
        <v>33</v>
      </c>
      <c r="C41" s="45">
        <f>'Source data'!O40</f>
        <v>21.067415730337082</v>
      </c>
      <c r="D41" s="45">
        <f>'Source data'!AC40</f>
        <v>12.620746606334841</v>
      </c>
      <c r="E41" s="45">
        <f>'Source data'!AQ40</f>
        <v>40.834845735027223</v>
      </c>
      <c r="F41" s="45">
        <f>'Source data'!BE40</f>
        <v>26.596404494382021</v>
      </c>
      <c r="G41" s="45">
        <f>'Source data'!BS40</f>
        <v>27.25333333333333</v>
      </c>
      <c r="H41" s="45">
        <f>'Source data'!CG40</f>
        <v>17.199017199017199</v>
      </c>
      <c r="I41" s="45">
        <f>'Source data'!CU40</f>
        <v>38.051750380517511</v>
      </c>
      <c r="J41" s="45">
        <f>'Source data'!DI40</f>
        <v>35.623801916932905</v>
      </c>
      <c r="K41" s="45"/>
      <c r="L41" s="45"/>
      <c r="M41" s="45"/>
      <c r="N41" s="3">
        <f t="shared" si="7"/>
        <v>40.834845735027223</v>
      </c>
      <c r="O41" s="3">
        <f t="shared" si="8"/>
        <v>27.405914424485264</v>
      </c>
      <c r="P41" s="3">
        <f t="shared" si="9"/>
        <v>12.620746606334841</v>
      </c>
      <c r="Q41" s="3">
        <f t="shared" si="10"/>
        <v>30.291523165489206</v>
      </c>
      <c r="R41" s="3">
        <f t="shared" si="11"/>
        <v>36.837776148725212</v>
      </c>
      <c r="S41" s="3">
        <f t="shared" si="12"/>
        <v>35.623801916932905</v>
      </c>
      <c r="T41" s="26">
        <f t="shared" si="13"/>
        <v>35.913012571342733</v>
      </c>
    </row>
    <row r="42" spans="2:20">
      <c r="B42" s="24">
        <f>'Source data'!C41</f>
        <v>34</v>
      </c>
      <c r="C42" s="45">
        <f>'Source data'!O41</f>
        <v>10.831889081455806</v>
      </c>
      <c r="D42" s="45">
        <f>'Source data'!AC41</f>
        <v>16.336812865497077</v>
      </c>
      <c r="E42" s="45">
        <f>'Source data'!AQ41</f>
        <v>25.26595744680851</v>
      </c>
      <c r="F42" s="45">
        <f>'Source data'!BE41</f>
        <v>18.27109185441941</v>
      </c>
      <c r="G42" s="45">
        <f>'Source data'!BS41</f>
        <v>29.61242250287026</v>
      </c>
      <c r="H42" s="45">
        <f>'Source data'!CG41</f>
        <v>12.810248198558847</v>
      </c>
      <c r="I42" s="45">
        <f>'Source data'!CU41</f>
        <v>26.515151515151516</v>
      </c>
      <c r="J42" s="45">
        <f>'Source data'!DI41</f>
        <v>30.475576662143826</v>
      </c>
      <c r="K42" s="45"/>
      <c r="L42" s="45"/>
      <c r="M42" s="45"/>
      <c r="N42" s="3">
        <f t="shared" si="7"/>
        <v>30.475576662143826</v>
      </c>
      <c r="O42" s="3">
        <f t="shared" si="8"/>
        <v>21.264893765863157</v>
      </c>
      <c r="P42" s="3">
        <f t="shared" si="9"/>
        <v>10.831889081455806</v>
      </c>
      <c r="Q42" s="3">
        <f t="shared" si="10"/>
        <v>23.26699212528473</v>
      </c>
      <c r="R42" s="3">
        <f t="shared" si="11"/>
        <v>28.495364088647669</v>
      </c>
      <c r="S42" s="3">
        <f t="shared" si="12"/>
        <v>30.475576662143826</v>
      </c>
      <c r="T42" s="26">
        <f t="shared" si="13"/>
        <v>29.9633781881912</v>
      </c>
    </row>
    <row r="43" spans="2:20">
      <c r="B43" s="24">
        <f>'Source data'!C42</f>
        <v>35</v>
      </c>
      <c r="C43" s="45">
        <f>'Source data'!O42</f>
        <v>15.479876160990713</v>
      </c>
      <c r="D43" s="45">
        <f>'Source data'!AC42</f>
        <v>12.039328703703703</v>
      </c>
      <c r="E43" s="45">
        <f>'Source data'!AQ42</f>
        <v>30.935251798561151</v>
      </c>
      <c r="F43" s="45">
        <f>'Source data'!BE42</f>
        <v>15.557879256965943</v>
      </c>
      <c r="G43" s="45">
        <f>'Source data'!BS42</f>
        <v>16.735513347022586</v>
      </c>
      <c r="H43" s="45">
        <f>'Source data'!CG42</f>
        <v>10.340226817878586</v>
      </c>
      <c r="I43" s="45">
        <f>'Source data'!CU42</f>
        <v>24.161735700197237</v>
      </c>
      <c r="J43" s="45">
        <f>'Source data'!DI42</f>
        <v>22.475263157894737</v>
      </c>
      <c r="K43" s="45"/>
      <c r="L43" s="45"/>
      <c r="M43" s="45"/>
      <c r="N43" s="3">
        <f t="shared" si="7"/>
        <v>30.935251798561151</v>
      </c>
      <c r="O43" s="3">
        <f t="shared" si="8"/>
        <v>18.465634367901835</v>
      </c>
      <c r="P43" s="3">
        <f t="shared" si="9"/>
        <v>10.340226817878586</v>
      </c>
      <c r="Q43" s="3">
        <f t="shared" si="10"/>
        <v>18.992408558656852</v>
      </c>
      <c r="R43" s="3">
        <f t="shared" si="11"/>
        <v>23.318499429045985</v>
      </c>
      <c r="S43" s="3">
        <f t="shared" si="12"/>
        <v>22.475263157894737</v>
      </c>
      <c r="T43" s="26">
        <f t="shared" si="13"/>
        <v>21.089150605873556</v>
      </c>
    </row>
    <row r="44" spans="2:20">
      <c r="B44" s="24">
        <f>'Source data'!C43</f>
        <v>36</v>
      </c>
      <c r="C44" s="45">
        <f>'Source data'!O43</f>
        <v>14.455782312925169</v>
      </c>
      <c r="D44" s="45">
        <f>'Source data'!AC43</f>
        <v>15.414388254486134</v>
      </c>
      <c r="E44" s="45">
        <f>'Source data'!AQ43</f>
        <v>21.676300578034681</v>
      </c>
      <c r="F44" s="45">
        <f>'Source data'!BE43</f>
        <v>16.127023809523806</v>
      </c>
      <c r="G44" s="45">
        <f>'Source data'!BS43</f>
        <v>21.401003382187145</v>
      </c>
      <c r="H44" s="45">
        <f>'Source data'!CG43</f>
        <v>20.699248331577095</v>
      </c>
      <c r="I44" s="45">
        <f>'Source data'!CU43</f>
        <v>36.119711042311664</v>
      </c>
      <c r="J44" s="45">
        <f>'Source data'!DI43</f>
        <v>33.831043956043956</v>
      </c>
      <c r="K44" s="45"/>
      <c r="L44" s="45"/>
      <c r="M44" s="45"/>
      <c r="N44" s="3">
        <f t="shared" si="7"/>
        <v>36.119711042311664</v>
      </c>
      <c r="O44" s="3">
        <f t="shared" si="8"/>
        <v>22.465562708386209</v>
      </c>
      <c r="P44" s="3">
        <f t="shared" si="9"/>
        <v>14.455782312925169</v>
      </c>
      <c r="Q44" s="3">
        <f t="shared" si="10"/>
        <v>30.21666777664424</v>
      </c>
      <c r="R44" s="3">
        <f t="shared" si="11"/>
        <v>34.97537749917781</v>
      </c>
      <c r="S44" s="3">
        <f t="shared" si="12"/>
        <v>33.831043956043956</v>
      </c>
      <c r="T44" s="26">
        <f t="shared" si="13"/>
        <v>35.4028627945072</v>
      </c>
    </row>
    <row r="45" spans="2:20">
      <c r="B45" s="24">
        <f>'Source data'!C44</f>
        <v>37</v>
      </c>
      <c r="C45" s="45">
        <f>'Source data'!O44</f>
        <v>9.9681020733652304</v>
      </c>
      <c r="D45" s="45">
        <f>'Source data'!AC44</f>
        <v>17.62843650793651</v>
      </c>
      <c r="E45" s="45">
        <f>'Source data'!AQ44</f>
        <v>24.765729585006692</v>
      </c>
      <c r="F45" s="45">
        <f>'Source data'!BE44</f>
        <v>13.344896331738436</v>
      </c>
      <c r="G45" s="45">
        <f>'Source data'!BS44</f>
        <v>22.148821721311474</v>
      </c>
      <c r="H45" s="45">
        <f>'Source data'!CG44</f>
        <v>18.452761144377913</v>
      </c>
      <c r="I45" s="45">
        <f>'Source data'!CU44</f>
        <v>23.668639053254438</v>
      </c>
      <c r="J45" s="45">
        <f>'Source data'!DI44</f>
        <v>23.858196010407632</v>
      </c>
      <c r="K45" s="45"/>
      <c r="L45" s="45"/>
      <c r="M45" s="45"/>
      <c r="N45" s="3">
        <f t="shared" si="7"/>
        <v>24.765729585006692</v>
      </c>
      <c r="O45" s="3">
        <f t="shared" si="8"/>
        <v>19.22944780342479</v>
      </c>
      <c r="P45" s="3">
        <f t="shared" si="9"/>
        <v>9.9681020733652304</v>
      </c>
      <c r="Q45" s="3">
        <f t="shared" si="10"/>
        <v>21.99319873601333</v>
      </c>
      <c r="R45" s="3">
        <f t="shared" si="11"/>
        <v>23.763417531831035</v>
      </c>
      <c r="S45" s="3">
        <f t="shared" si="12"/>
        <v>23.858196010407632</v>
      </c>
      <c r="T45" s="26">
        <f t="shared" si="13"/>
        <v>25.513199072365751</v>
      </c>
    </row>
    <row r="46" spans="2:20">
      <c r="B46" s="24">
        <f>'Source data'!C45</f>
        <v>38</v>
      </c>
      <c r="C46" s="45">
        <f>'Source data'!O45</f>
        <v>11.0062893081761</v>
      </c>
      <c r="D46" s="45">
        <f>'Source data'!AC45</f>
        <v>11.921186440677968</v>
      </c>
      <c r="E46" s="45">
        <f>'Source data'!AQ45</f>
        <v>29.953917050691242</v>
      </c>
      <c r="F46" s="45">
        <f>'Source data'!BE45</f>
        <v>15.70246855345912</v>
      </c>
      <c r="G46" s="45">
        <f>'Source data'!BS45</f>
        <v>24.535053892215569</v>
      </c>
      <c r="H46" s="45">
        <f>'Source data'!CG45</f>
        <v>23.160840275262586</v>
      </c>
      <c r="I46" s="45">
        <f>'Source data'!CU45</f>
        <v>29.25531914893617</v>
      </c>
      <c r="J46" s="45">
        <f>'Source data'!DI45</f>
        <v>32.162420382165607</v>
      </c>
      <c r="K46" s="45"/>
      <c r="L46" s="45"/>
      <c r="M46" s="45"/>
      <c r="N46" s="3">
        <f t="shared" si="7"/>
        <v>32.162420382165607</v>
      </c>
      <c r="O46" s="3">
        <f t="shared" si="8"/>
        <v>22.212186881448048</v>
      </c>
      <c r="P46" s="3">
        <f t="shared" si="9"/>
        <v>11.0062893081761</v>
      </c>
      <c r="Q46" s="3">
        <f t="shared" si="10"/>
        <v>28.192859935454788</v>
      </c>
      <c r="R46" s="3">
        <f t="shared" si="11"/>
        <v>30.708869765550887</v>
      </c>
      <c r="S46" s="3">
        <f t="shared" si="12"/>
        <v>32.162420382165607</v>
      </c>
      <c r="T46" s="26">
        <f t="shared" si="13"/>
        <v>34.170237028145493</v>
      </c>
    </row>
    <row r="47" spans="2:20">
      <c r="B47" s="24">
        <f>'Source data'!C46</f>
        <v>39</v>
      </c>
      <c r="C47" s="45">
        <f>'Source data'!O46</f>
        <v>8.5692995529061093</v>
      </c>
      <c r="D47" s="45">
        <f>'Source data'!AC46</f>
        <v>11.274370689655173</v>
      </c>
      <c r="E47" s="45">
        <f>'Source data'!AQ46</f>
        <v>29.850746268656717</v>
      </c>
      <c r="F47" s="45">
        <f>'Source data'!BE46</f>
        <v>12.183546944858421</v>
      </c>
      <c r="G47" s="45">
        <f>'Source data'!BS46</f>
        <v>18.570792192881747</v>
      </c>
      <c r="H47" s="45">
        <f>'Source data'!CG46</f>
        <v>16.279069767441861</v>
      </c>
      <c r="I47" s="45">
        <f>'Source data'!CU46</f>
        <v>51.326412918108417</v>
      </c>
      <c r="J47" s="45">
        <f>'Source data'!DI46</f>
        <v>42.292537313432838</v>
      </c>
      <c r="K47" s="45"/>
      <c r="L47" s="45"/>
      <c r="M47" s="45"/>
      <c r="N47" s="3">
        <f t="shared" si="7"/>
        <v>51.326412918108417</v>
      </c>
      <c r="O47" s="3">
        <f t="shared" si="8"/>
        <v>23.793346955992657</v>
      </c>
      <c r="P47" s="3">
        <f t="shared" si="9"/>
        <v>8.5692995529061093</v>
      </c>
      <c r="Q47" s="3">
        <f t="shared" si="10"/>
        <v>36.632673332994365</v>
      </c>
      <c r="R47" s="3">
        <f t="shared" si="11"/>
        <v>46.809475115770624</v>
      </c>
      <c r="S47" s="3">
        <f t="shared" si="12"/>
        <v>42.292537313432838</v>
      </c>
      <c r="T47" s="26">
        <f t="shared" si="13"/>
        <v>45.328798270831612</v>
      </c>
    </row>
    <row r="48" spans="2:20">
      <c r="B48" s="24">
        <f>'Source data'!C47</f>
        <v>40</v>
      </c>
      <c r="C48" s="45">
        <f>'Source data'!O47</f>
        <v>13.846153846153847</v>
      </c>
      <c r="D48" s="45">
        <f>'Source data'!AC47</f>
        <v>17.739060092449922</v>
      </c>
      <c r="E48" s="45">
        <f>'Source data'!AQ47</f>
        <v>39.726027397260275</v>
      </c>
      <c r="F48" s="45">
        <f>'Source data'!BE47</f>
        <v>22.82196153846154</v>
      </c>
      <c r="G48" s="45">
        <f>'Source data'!BS47</f>
        <v>32.385158227848102</v>
      </c>
      <c r="H48" s="45">
        <f>'Source data'!CG47</f>
        <v>16.783762685402028</v>
      </c>
      <c r="I48" s="45">
        <f>'Source data'!CU47</f>
        <v>36.599763872491145</v>
      </c>
      <c r="J48" s="45">
        <f>'Source data'!DI47</f>
        <v>24.747373447946512</v>
      </c>
      <c r="K48" s="45"/>
      <c r="L48" s="45"/>
      <c r="M48" s="45"/>
      <c r="N48" s="3">
        <f t="shared" si="7"/>
        <v>39.726027397260275</v>
      </c>
      <c r="O48" s="3">
        <f t="shared" si="8"/>
        <v>25.581157638501669</v>
      </c>
      <c r="P48" s="3">
        <f t="shared" si="9"/>
        <v>13.846153846153847</v>
      </c>
      <c r="Q48" s="3">
        <f t="shared" si="10"/>
        <v>26.043633335279896</v>
      </c>
      <c r="R48" s="3">
        <f t="shared" si="11"/>
        <v>30.673568660218827</v>
      </c>
      <c r="S48" s="3">
        <f t="shared" si="12"/>
        <v>24.747373447946512</v>
      </c>
      <c r="T48" s="26">
        <f t="shared" si="13"/>
        <v>31.546253638496182</v>
      </c>
    </row>
    <row r="49" spans="2:20">
      <c r="B49" s="24">
        <f>'Source data'!C48</f>
        <v>41</v>
      </c>
      <c r="C49" s="45">
        <f>'Source data'!O48</f>
        <v>10.918674698795181</v>
      </c>
      <c r="D49" s="45">
        <f>'Source data'!AC48</f>
        <v>13.08581866197183</v>
      </c>
      <c r="E49" s="45">
        <f>'Source data'!AQ48</f>
        <v>37.390029325513197</v>
      </c>
      <c r="F49" s="45">
        <f>'Source data'!BE48</f>
        <v>14.638034638554215</v>
      </c>
      <c r="G49" s="45">
        <f>'Source data'!BS48</f>
        <v>24.645552575107295</v>
      </c>
      <c r="H49" s="45">
        <f>'Source data'!CG48</f>
        <v>16.329704510108865</v>
      </c>
      <c r="I49" s="45">
        <f>'Source data'!CU48</f>
        <v>41.566265060240958</v>
      </c>
      <c r="J49" s="45">
        <f>'Source data'!DI48</f>
        <v>42.814182194616976</v>
      </c>
      <c r="K49" s="45"/>
      <c r="L49" s="45"/>
      <c r="M49" s="45"/>
      <c r="N49" s="26">
        <f t="shared" ref="N49:N60" si="14">MAX(C49:I49)</f>
        <v>41.566265060240958</v>
      </c>
      <c r="O49" s="26">
        <f t="shared" ref="O49:O60" si="15">AVERAGE(C49:I49)</f>
        <v>22.653439924327362</v>
      </c>
      <c r="P49" s="26">
        <f t="shared" ref="P49:P60" si="16">MIN(C49:I49)</f>
        <v>10.918674698795181</v>
      </c>
      <c r="Q49" s="26">
        <f t="shared" ref="Q49:Q60" si="17">AVERAGE(G49:I49)</f>
        <v>27.513840715152373</v>
      </c>
      <c r="R49" s="3">
        <f t="shared" ref="R49:R60" si="18">AVERAGE(H49:I49)</f>
        <v>28.94798478517491</v>
      </c>
      <c r="S49" s="3">
        <f t="shared" ref="S49:S60" si="19">I49</f>
        <v>41.566265060240958</v>
      </c>
      <c r="T49" s="26">
        <f t="shared" ref="T49:T60" si="20">TREND(C49:I49,$C$8:$I$8,$K$8)</f>
        <v>37.954523144006998</v>
      </c>
    </row>
    <row r="50" spans="2:20">
      <c r="B50" s="24">
        <f>'Source data'!C49</f>
        <v>42</v>
      </c>
      <c r="C50" s="45">
        <f>'Source data'!O49</f>
        <v>8.3713850837138502</v>
      </c>
      <c r="D50" s="45">
        <f>'Source data'!AC49</f>
        <v>11.320787545787546</v>
      </c>
      <c r="E50" s="45">
        <f>'Source data'!AQ49</f>
        <v>22.364217252396166</v>
      </c>
      <c r="F50" s="45">
        <f>'Source data'!BE49</f>
        <v>17.262785388127853</v>
      </c>
      <c r="G50" s="45">
        <f>'Source data'!BS49</f>
        <v>28.280569620253168</v>
      </c>
      <c r="H50" s="45">
        <f>'Source data'!CG49</f>
        <v>15.185185185185185</v>
      </c>
      <c r="I50" s="45">
        <f>'Source data'!CU49</f>
        <v>32.275711159737419</v>
      </c>
      <c r="J50" s="45">
        <f>'Source data'!DI49</f>
        <v>34.279332615715823</v>
      </c>
      <c r="K50" s="45"/>
      <c r="L50" s="45"/>
      <c r="M50" s="45"/>
      <c r="N50" s="26">
        <f t="shared" si="14"/>
        <v>32.275711159737419</v>
      </c>
      <c r="O50" s="26">
        <f t="shared" si="15"/>
        <v>19.294377319314457</v>
      </c>
      <c r="P50" s="26">
        <f t="shared" si="16"/>
        <v>8.3713850837138502</v>
      </c>
      <c r="Q50" s="26">
        <f t="shared" si="17"/>
        <v>25.247155321725256</v>
      </c>
      <c r="R50" s="3">
        <f t="shared" si="18"/>
        <v>23.730448172461301</v>
      </c>
      <c r="S50" s="3">
        <f t="shared" si="19"/>
        <v>32.275711159737419</v>
      </c>
      <c r="T50" s="26">
        <f t="shared" si="20"/>
        <v>34.536899796943544</v>
      </c>
    </row>
    <row r="51" spans="2:20">
      <c r="B51" s="24">
        <f>'Source data'!C50</f>
        <v>43</v>
      </c>
      <c r="C51" s="45">
        <f>'Source data'!O50</f>
        <v>10</v>
      </c>
      <c r="D51" s="45">
        <f>'Source data'!AC50</f>
        <v>15.926033386327505</v>
      </c>
      <c r="E51" s="45">
        <f>'Source data'!AQ50</f>
        <v>19.835841313269494</v>
      </c>
      <c r="F51" s="45">
        <f>'Source data'!BE50</f>
        <v>11.605279999999999</v>
      </c>
      <c r="G51" s="45">
        <f>'Source data'!BS50</f>
        <v>21.056491228070175</v>
      </c>
      <c r="H51" s="45">
        <f>'Source data'!CG50</f>
        <v>17.387788111605339</v>
      </c>
      <c r="I51" s="45">
        <f>'Source data'!CU50</f>
        <v>33.047735618115055</v>
      </c>
      <c r="J51" s="45">
        <f>'Source data'!DI50</f>
        <v>29.957219251336898</v>
      </c>
      <c r="K51" s="45"/>
      <c r="L51" s="45"/>
      <c r="M51" s="45"/>
      <c r="N51" s="26">
        <f t="shared" si="14"/>
        <v>33.047735618115055</v>
      </c>
      <c r="O51" s="26">
        <f t="shared" si="15"/>
        <v>18.408452808198223</v>
      </c>
      <c r="P51" s="26">
        <f t="shared" si="16"/>
        <v>10</v>
      </c>
      <c r="Q51" s="26">
        <f t="shared" si="17"/>
        <v>23.830671652596859</v>
      </c>
      <c r="R51" s="3">
        <f t="shared" si="18"/>
        <v>25.217761864860197</v>
      </c>
      <c r="S51" s="3">
        <f t="shared" si="19"/>
        <v>33.047735618115055</v>
      </c>
      <c r="T51" s="26">
        <f t="shared" si="20"/>
        <v>31.495482490287941</v>
      </c>
    </row>
    <row r="52" spans="2:20">
      <c r="B52" s="24">
        <f>'Source data'!C51</f>
        <v>44</v>
      </c>
      <c r="C52" s="45">
        <f>'Source data'!O51</f>
        <v>11.119631901840492</v>
      </c>
      <c r="D52" s="45">
        <f>'Source data'!AC51</f>
        <v>13.3207944606414</v>
      </c>
      <c r="E52" s="45">
        <f>'Source data'!AQ51</f>
        <v>32.591414944356117</v>
      </c>
      <c r="F52" s="45">
        <f>'Source data'!BE51</f>
        <v>17.170720858895706</v>
      </c>
      <c r="G52" s="45">
        <f>'Source data'!BS51</f>
        <v>30.444680094786726</v>
      </c>
      <c r="H52" s="45">
        <f>'Source data'!CG51</f>
        <v>15.987818804720213</v>
      </c>
      <c r="I52" s="45">
        <f>'Source data'!CU51</f>
        <v>25.91283863368669</v>
      </c>
      <c r="J52" s="45">
        <f>'Source data'!DI51</f>
        <v>25.757968127490038</v>
      </c>
      <c r="K52" s="45"/>
      <c r="L52" s="45"/>
      <c r="M52" s="45"/>
      <c r="N52" s="26">
        <f t="shared" si="14"/>
        <v>32.591414944356117</v>
      </c>
      <c r="O52" s="26">
        <f t="shared" si="15"/>
        <v>20.935414242703903</v>
      </c>
      <c r="P52" s="26">
        <f t="shared" si="16"/>
        <v>11.119631901840492</v>
      </c>
      <c r="Q52" s="26">
        <f t="shared" si="17"/>
        <v>24.115112511064542</v>
      </c>
      <c r="R52" s="3">
        <f t="shared" si="18"/>
        <v>20.950328719203451</v>
      </c>
      <c r="S52" s="3">
        <f t="shared" si="19"/>
        <v>25.91283863368669</v>
      </c>
      <c r="T52" s="26">
        <f t="shared" si="20"/>
        <v>29.429509605940439</v>
      </c>
    </row>
    <row r="53" spans="2:20">
      <c r="B53" s="24">
        <f>'Source data'!C52</f>
        <v>45</v>
      </c>
      <c r="C53" s="45">
        <f>'Source data'!O52</f>
        <v>10.62091503267974</v>
      </c>
      <c r="D53" s="45">
        <f>'Source data'!AC52</f>
        <v>26.544269311064717</v>
      </c>
      <c r="E53" s="45">
        <f>'Source data'!AQ52</f>
        <v>25.982256020278836</v>
      </c>
      <c r="F53" s="45">
        <f>'Source data'!BE52</f>
        <v>24.013749999999998</v>
      </c>
      <c r="G53" s="45">
        <f>'Source data'!BS52</f>
        <v>29.383851039260971</v>
      </c>
      <c r="H53" s="45">
        <f>'Source data'!CG52</f>
        <v>29.748568232662194</v>
      </c>
      <c r="I53" s="45">
        <f>'Source data'!CU52</f>
        <v>42.155816435432229</v>
      </c>
      <c r="J53" s="45">
        <f>'Source data'!DI52</f>
        <v>46.561179087875416</v>
      </c>
      <c r="K53" s="45"/>
      <c r="L53" s="45"/>
      <c r="M53" s="45"/>
      <c r="N53" s="26">
        <f t="shared" si="14"/>
        <v>42.155816435432229</v>
      </c>
      <c r="O53" s="26">
        <f t="shared" si="15"/>
        <v>26.921346581625528</v>
      </c>
      <c r="P53" s="26">
        <f t="shared" si="16"/>
        <v>10.62091503267974</v>
      </c>
      <c r="Q53" s="26">
        <f t="shared" si="17"/>
        <v>33.762745235785133</v>
      </c>
      <c r="R53" s="3">
        <f t="shared" si="18"/>
        <v>35.952192334047211</v>
      </c>
      <c r="S53" s="3">
        <f t="shared" si="19"/>
        <v>42.155816435432229</v>
      </c>
      <c r="T53" s="26">
        <f t="shared" si="20"/>
        <v>45.566863915631984</v>
      </c>
    </row>
    <row r="54" spans="2:20">
      <c r="B54" s="24">
        <f>'Source data'!C53</f>
        <v>46</v>
      </c>
      <c r="C54" s="45">
        <f>'Source data'!O53</f>
        <v>11.029411764705882</v>
      </c>
      <c r="D54" s="45">
        <f>'Source data'!AC53</f>
        <v>23.745659432387313</v>
      </c>
      <c r="E54" s="45">
        <f>'Source data'!AQ53</f>
        <v>27.508090614886733</v>
      </c>
      <c r="F54" s="45">
        <f>'Source data'!BE53</f>
        <v>12.593316993464054</v>
      </c>
      <c r="G54" s="45">
        <f>'Source data'!BS53</f>
        <v>20.283624401913876</v>
      </c>
      <c r="H54" s="45">
        <f>'Source data'!CG53</f>
        <v>21.000901699926093</v>
      </c>
      <c r="I54" s="45">
        <f>'Source data'!CU53</f>
        <v>24.167561761546722</v>
      </c>
      <c r="J54" s="45">
        <f>'Source data'!DI53</f>
        <v>27.901247401247403</v>
      </c>
      <c r="K54" s="45"/>
      <c r="L54" s="45"/>
      <c r="M54" s="45"/>
      <c r="N54" s="26">
        <f t="shared" si="14"/>
        <v>27.508090614886733</v>
      </c>
      <c r="O54" s="26">
        <f t="shared" si="15"/>
        <v>20.046938095547237</v>
      </c>
      <c r="P54" s="26">
        <f t="shared" si="16"/>
        <v>11.029411764705882</v>
      </c>
      <c r="Q54" s="26">
        <f t="shared" si="17"/>
        <v>21.817362621128897</v>
      </c>
      <c r="R54" s="3">
        <f t="shared" si="18"/>
        <v>22.584231730736406</v>
      </c>
      <c r="S54" s="3">
        <f t="shared" si="19"/>
        <v>24.167561761546722</v>
      </c>
      <c r="T54" s="26">
        <f t="shared" si="20"/>
        <v>24.814878865659239</v>
      </c>
    </row>
    <row r="55" spans="2:20">
      <c r="B55" s="24">
        <f>'Source data'!C54</f>
        <v>47</v>
      </c>
      <c r="C55" s="45">
        <f>'Source data'!O54</f>
        <v>12.21498371335505</v>
      </c>
      <c r="D55" s="45">
        <f>'Source data'!AC54</f>
        <v>15.29657495256167</v>
      </c>
      <c r="E55" s="45">
        <f>'Source data'!AQ54</f>
        <v>31.609195402298848</v>
      </c>
      <c r="F55" s="45">
        <f>'Source data'!BE54</f>
        <v>18.463786644951139</v>
      </c>
      <c r="G55" s="45">
        <f>'Source data'!BS54</f>
        <v>23.716224593495934</v>
      </c>
      <c r="H55" s="45">
        <f>'Source data'!CG54</f>
        <v>30.451598425196849</v>
      </c>
      <c r="I55" s="45">
        <f>'Source data'!CU54</f>
        <v>30.267753201396975</v>
      </c>
      <c r="J55" s="45">
        <f>'Source data'!DI54</f>
        <v>31.315909090909088</v>
      </c>
      <c r="K55" s="45"/>
      <c r="L55" s="45"/>
      <c r="M55" s="45"/>
      <c r="N55" s="26">
        <f t="shared" si="14"/>
        <v>31.609195402298848</v>
      </c>
      <c r="O55" s="26">
        <f t="shared" si="15"/>
        <v>23.145730990465207</v>
      </c>
      <c r="P55" s="26">
        <f t="shared" si="16"/>
        <v>12.21498371335505</v>
      </c>
      <c r="Q55" s="26">
        <f t="shared" si="17"/>
        <v>28.145192073363251</v>
      </c>
      <c r="R55" s="3">
        <f t="shared" si="18"/>
        <v>30.35967581329691</v>
      </c>
      <c r="S55" s="3">
        <f t="shared" si="19"/>
        <v>30.267753201396975</v>
      </c>
      <c r="T55" s="26">
        <f t="shared" si="20"/>
        <v>36.819906812000227</v>
      </c>
    </row>
    <row r="56" spans="2:20">
      <c r="B56" s="24">
        <f>'Source data'!C55</f>
        <v>48</v>
      </c>
      <c r="C56" s="45">
        <f>'Source data'!O55</f>
        <v>9.7087378640776709</v>
      </c>
      <c r="D56" s="45">
        <f>'Source data'!AC55</f>
        <v>37.822585301837272</v>
      </c>
      <c r="E56" s="45">
        <f>'Source data'!AQ55</f>
        <v>43.103448275862064</v>
      </c>
      <c r="F56" s="45">
        <f>'Source data'!BE55</f>
        <v>21.435072815533982</v>
      </c>
      <c r="G56" s="45">
        <f>'Source data'!BS55</f>
        <v>30.998883928571427</v>
      </c>
      <c r="H56" s="45">
        <f>'Source data'!CG55</f>
        <v>16.715830875122911</v>
      </c>
      <c r="I56" s="45">
        <f>'Source data'!CU55</f>
        <v>40.057224606580832</v>
      </c>
      <c r="J56" s="45">
        <f>'Source data'!DI55</f>
        <v>36.111823361823362</v>
      </c>
      <c r="K56" s="45"/>
      <c r="L56" s="45"/>
      <c r="M56" s="45"/>
      <c r="N56" s="26">
        <f t="shared" si="14"/>
        <v>43.103448275862064</v>
      </c>
      <c r="O56" s="26">
        <f t="shared" si="15"/>
        <v>28.548826238226592</v>
      </c>
      <c r="P56" s="26">
        <f t="shared" si="16"/>
        <v>9.7087378640776709</v>
      </c>
      <c r="Q56" s="26">
        <f t="shared" si="17"/>
        <v>29.257313136758388</v>
      </c>
      <c r="R56" s="3">
        <f t="shared" si="18"/>
        <v>28.386527740851871</v>
      </c>
      <c r="S56" s="3">
        <f t="shared" si="19"/>
        <v>40.057224606580832</v>
      </c>
      <c r="T56" s="26">
        <f t="shared" si="20"/>
        <v>35.107288207295824</v>
      </c>
    </row>
    <row r="57" spans="2:20">
      <c r="B57" s="24">
        <f>'Source data'!C56</f>
        <v>49</v>
      </c>
      <c r="C57" s="45">
        <f>'Source data'!O56</f>
        <v>18.777614138438881</v>
      </c>
      <c r="D57" s="45">
        <f>'Source data'!AC56</f>
        <v>32.804015957446808</v>
      </c>
      <c r="E57" s="45">
        <f>'Source data'!AQ56</f>
        <v>28.530670470756061</v>
      </c>
      <c r="F57" s="45">
        <f>'Source data'!BE56</f>
        <v>16.300736377025039</v>
      </c>
      <c r="G57" s="45">
        <f>'Source data'!BS56</f>
        <v>26.656775700934581</v>
      </c>
      <c r="H57" s="45">
        <f>'Source data'!CG56</f>
        <v>12.428619415518979</v>
      </c>
      <c r="I57" s="45">
        <f>'Source data'!CU56</f>
        <v>44.015825914935711</v>
      </c>
      <c r="J57" s="45">
        <f>'Source data'!DI56</f>
        <v>45.988736532810968</v>
      </c>
      <c r="K57" s="45"/>
      <c r="L57" s="45"/>
      <c r="M57" s="45"/>
      <c r="N57" s="26">
        <f t="shared" si="14"/>
        <v>44.015825914935711</v>
      </c>
      <c r="O57" s="26">
        <f t="shared" si="15"/>
        <v>25.644893996436576</v>
      </c>
      <c r="P57" s="26">
        <f t="shared" si="16"/>
        <v>12.428619415518979</v>
      </c>
      <c r="Q57" s="26">
        <f t="shared" si="17"/>
        <v>27.700407010463092</v>
      </c>
      <c r="R57" s="3">
        <f t="shared" si="18"/>
        <v>28.222222665227346</v>
      </c>
      <c r="S57" s="3">
        <f t="shared" si="19"/>
        <v>44.015825914935711</v>
      </c>
      <c r="T57" s="26">
        <f t="shared" si="20"/>
        <v>31.553813188545973</v>
      </c>
    </row>
    <row r="58" spans="2:20">
      <c r="B58" s="24">
        <f>'Source data'!C57</f>
        <v>50</v>
      </c>
      <c r="C58" s="45">
        <f>'Source data'!O57</f>
        <v>21.37870855148342</v>
      </c>
      <c r="D58" s="45">
        <f>'Source data'!AC57</f>
        <v>45.846307385229537</v>
      </c>
      <c r="E58" s="45">
        <f>'Source data'!AQ57</f>
        <v>66.954643628509729</v>
      </c>
      <c r="F58" s="45">
        <f>'Source data'!BE57</f>
        <v>29.405453752181504</v>
      </c>
      <c r="G58" s="45">
        <f>'Source data'!BS57</f>
        <v>31.777027777777782</v>
      </c>
      <c r="H58" s="45">
        <f>'Source data'!CG57</f>
        <v>39.611801935964259</v>
      </c>
      <c r="I58" s="45">
        <f>'Source data'!CU57</f>
        <v>28.523489932885905</v>
      </c>
      <c r="J58" s="45">
        <f>'Source data'!DI57</f>
        <v>28.229122055674519</v>
      </c>
      <c r="K58" s="45"/>
      <c r="L58" s="45"/>
      <c r="M58" s="45"/>
      <c r="N58" s="26">
        <f t="shared" si="14"/>
        <v>66.954643628509729</v>
      </c>
      <c r="O58" s="26">
        <f t="shared" si="15"/>
        <v>37.642490423433166</v>
      </c>
      <c r="P58" s="26">
        <f t="shared" si="16"/>
        <v>21.37870855148342</v>
      </c>
      <c r="Q58" s="26">
        <f t="shared" si="17"/>
        <v>33.304106548875986</v>
      </c>
      <c r="R58" s="3">
        <f t="shared" si="18"/>
        <v>34.06764593442508</v>
      </c>
      <c r="S58" s="3">
        <f t="shared" si="19"/>
        <v>28.523489932885905</v>
      </c>
      <c r="T58" s="26">
        <f t="shared" si="20"/>
        <v>32.96172567253052</v>
      </c>
    </row>
    <row r="59" spans="2:20">
      <c r="B59" s="24">
        <f>'Source data'!C58</f>
        <v>51</v>
      </c>
      <c r="C59" s="45">
        <f>'Source data'!O58</f>
        <v>40.506329113924053</v>
      </c>
      <c r="D59" s="45">
        <f>'Source data'!AC58</f>
        <v>42.008052805280528</v>
      </c>
      <c r="E59" s="45">
        <f>'Source data'!AQ58</f>
        <v>71.428571428571431</v>
      </c>
      <c r="F59" s="45">
        <f>'Source data'!BE58</f>
        <v>41.084594936708861</v>
      </c>
      <c r="G59" s="45">
        <f>'Source data'!BS58</f>
        <v>50.594058084772371</v>
      </c>
      <c r="H59" s="45">
        <f>'Source data'!CG58</f>
        <v>90.590966767371611</v>
      </c>
      <c r="I59" s="45">
        <f>'Source data'!CU58</f>
        <v>57.89473684210526</v>
      </c>
      <c r="J59" s="45">
        <f>'Source data'!DI58</f>
        <v>37.946765421747969</v>
      </c>
      <c r="K59" s="45"/>
      <c r="L59" s="45"/>
      <c r="M59" s="45"/>
      <c r="N59" s="26">
        <f t="shared" si="14"/>
        <v>90.590966767371611</v>
      </c>
      <c r="O59" s="26">
        <f t="shared" si="15"/>
        <v>56.301044282676301</v>
      </c>
      <c r="P59" s="26">
        <f t="shared" si="16"/>
        <v>40.506329113924053</v>
      </c>
      <c r="Q59" s="26">
        <f t="shared" si="17"/>
        <v>66.359920564749743</v>
      </c>
      <c r="R59" s="3">
        <f t="shared" si="18"/>
        <v>74.242851804738436</v>
      </c>
      <c r="S59" s="3">
        <f t="shared" si="19"/>
        <v>57.89473684210526</v>
      </c>
      <c r="T59" s="26">
        <f t="shared" si="20"/>
        <v>79.246854597842685</v>
      </c>
    </row>
    <row r="60" spans="2:20">
      <c r="B60" s="24">
        <f>'Source data'!C59</f>
        <v>52</v>
      </c>
      <c r="C60" s="45">
        <f>'Source data'!O59</f>
        <v>95.370370370370381</v>
      </c>
      <c r="D60" s="45">
        <f>'Source data'!AC59</f>
        <v>247.66955823293176</v>
      </c>
      <c r="E60" s="45">
        <f>'Source data'!AQ59</f>
        <v>117.33615221987316</v>
      </c>
      <c r="F60" s="45">
        <f>'Source data'!BE59</f>
        <v>90.844333333333338</v>
      </c>
      <c r="G60" s="45">
        <f>'Source data'!BS59</f>
        <v>92.413737574552684</v>
      </c>
      <c r="H60" s="45">
        <f>'Source data'!CG59</f>
        <v>72.1184803605924</v>
      </c>
      <c r="I60" s="45">
        <f>'Source data'!CU59</f>
        <v>56.390977443609025</v>
      </c>
      <c r="J60" s="45">
        <f>'Source data'!DI59</f>
        <v>27.938006558641973</v>
      </c>
      <c r="K60" s="45"/>
      <c r="L60" s="45"/>
      <c r="M60" s="45"/>
      <c r="N60" s="26">
        <f t="shared" si="14"/>
        <v>247.66955823293176</v>
      </c>
      <c r="O60" s="26">
        <f t="shared" si="15"/>
        <v>110.30622993360898</v>
      </c>
      <c r="P60" s="26">
        <f t="shared" si="16"/>
        <v>56.390977443609025</v>
      </c>
      <c r="Q60" s="26">
        <f t="shared" si="17"/>
        <v>73.641065126251362</v>
      </c>
      <c r="R60" s="3">
        <f t="shared" si="18"/>
        <v>64.254728902100709</v>
      </c>
      <c r="S60" s="3">
        <f t="shared" si="19"/>
        <v>56.390977443609025</v>
      </c>
      <c r="T60" s="26">
        <f t="shared" si="20"/>
        <v>22.277167581778485</v>
      </c>
    </row>
    <row r="61" spans="2:20">
      <c r="B61" s="24"/>
      <c r="C61" s="25"/>
      <c r="D61" s="25"/>
      <c r="E61" s="25"/>
      <c r="F61" s="25"/>
      <c r="G61" s="25"/>
      <c r="H61" s="25"/>
      <c r="I61" s="25"/>
      <c r="J61" s="25"/>
      <c r="K61" s="25"/>
      <c r="L61" s="25"/>
      <c r="M61" s="25"/>
      <c r="O61" s="3"/>
    </row>
    <row r="62" spans="2:20">
      <c r="B62" s="17" t="s">
        <v>3</v>
      </c>
      <c r="C62" s="27">
        <f t="shared" ref="C62:K62" si="21">AVERAGE(C9:C61)</f>
        <v>15.422400198792353</v>
      </c>
      <c r="D62" s="27">
        <f t="shared" si="21"/>
        <v>22.314830311823137</v>
      </c>
      <c r="E62" s="27">
        <f t="shared" si="21"/>
        <v>40.883629874056659</v>
      </c>
      <c r="F62" s="27">
        <f t="shared" si="21"/>
        <v>22.544151443852936</v>
      </c>
      <c r="G62" s="27">
        <f t="shared" si="21"/>
        <v>31.694409332574814</v>
      </c>
      <c r="H62" s="27">
        <f t="shared" si="21"/>
        <v>23.673634251593789</v>
      </c>
      <c r="I62" s="27">
        <f t="shared" si="21"/>
        <v>37.316021880154203</v>
      </c>
      <c r="J62" s="27">
        <f t="shared" si="21"/>
        <v>34.180814699664339</v>
      </c>
      <c r="K62" s="27">
        <f t="shared" si="21"/>
        <v>41.180532738031758</v>
      </c>
      <c r="L62" s="27"/>
      <c r="M62" s="27"/>
      <c r="N62" s="27">
        <f t="shared" ref="N62:T62" si="22">AVERAGE(N9:N61)</f>
        <v>49.69671962203909</v>
      </c>
      <c r="O62" s="27">
        <f t="shared" si="22"/>
        <v>28.952617701623915</v>
      </c>
      <c r="P62" s="27">
        <f t="shared" si="22"/>
        <v>13.67301732812982</v>
      </c>
      <c r="Q62" s="27">
        <f t="shared" si="22"/>
        <v>34.027543168883319</v>
      </c>
      <c r="R62" s="27">
        <f t="shared" si="22"/>
        <v>35.38645427827079</v>
      </c>
      <c r="S62" s="27">
        <f t="shared" si="22"/>
        <v>36.603096237368689</v>
      </c>
      <c r="T62" s="27">
        <f t="shared" si="22"/>
        <v>38.412340459566359</v>
      </c>
    </row>
    <row r="63" spans="2:20">
      <c r="B63" s="17"/>
      <c r="C63" s="17"/>
      <c r="D63" s="17"/>
      <c r="E63" s="17"/>
      <c r="F63" s="17"/>
      <c r="G63" s="17"/>
      <c r="H63" s="17"/>
      <c r="I63" s="17"/>
    </row>
    <row r="65" spans="2:20">
      <c r="B65" s="113" t="s">
        <v>272</v>
      </c>
      <c r="C65" s="113"/>
      <c r="D65" s="113"/>
      <c r="E65" s="113"/>
      <c r="F65" s="113"/>
      <c r="G65" s="113"/>
      <c r="H65" s="113"/>
      <c r="I65" s="113"/>
      <c r="J65" s="113"/>
      <c r="K65" s="113"/>
      <c r="L65" s="113"/>
      <c r="M65" s="113"/>
      <c r="N65" s="113"/>
      <c r="O65" s="113"/>
      <c r="P65" s="113"/>
      <c r="Q65" s="113"/>
      <c r="R65" s="113"/>
      <c r="S65" s="113"/>
      <c r="T65" s="113"/>
    </row>
    <row r="66" spans="2:20">
      <c r="Q66" s="19" t="s">
        <v>277</v>
      </c>
      <c r="R66" s="19" t="s">
        <v>277</v>
      </c>
      <c r="S66" s="19" t="s">
        <v>287</v>
      </c>
      <c r="T66" s="19" t="s">
        <v>298</v>
      </c>
    </row>
    <row r="67" spans="2:20">
      <c r="B67" s="20" t="s">
        <v>0</v>
      </c>
      <c r="C67" s="21">
        <v>2005</v>
      </c>
      <c r="D67" s="21">
        <v>2006</v>
      </c>
      <c r="E67" s="21">
        <v>2007</v>
      </c>
      <c r="F67" s="21">
        <v>2008</v>
      </c>
      <c r="G67" s="21">
        <v>2009</v>
      </c>
      <c r="H67" s="21">
        <v>2010</v>
      </c>
      <c r="I67" s="21">
        <v>2011</v>
      </c>
      <c r="J67" s="21">
        <v>2012</v>
      </c>
      <c r="K67" s="21">
        <v>2013</v>
      </c>
      <c r="L67" s="48"/>
      <c r="M67" s="46"/>
      <c r="N67" s="22" t="s">
        <v>273</v>
      </c>
      <c r="O67" s="22" t="s">
        <v>3</v>
      </c>
      <c r="P67" s="22" t="s">
        <v>274</v>
      </c>
      <c r="Q67" s="23" t="s">
        <v>278</v>
      </c>
      <c r="R67" s="23" t="s">
        <v>286</v>
      </c>
      <c r="S67" s="23" t="s">
        <v>288</v>
      </c>
      <c r="T67" s="23" t="s">
        <v>299</v>
      </c>
    </row>
    <row r="68" spans="2:20">
      <c r="B68" s="24">
        <f>'Source data'!C8</f>
        <v>1</v>
      </c>
      <c r="C68" s="45">
        <f>'Source data'!L8</f>
        <v>6.1224489795918364</v>
      </c>
      <c r="D68" s="45">
        <f>'Source data'!Z8</f>
        <v>11.776851211072666</v>
      </c>
      <c r="E68" s="45">
        <f>'Source data'!AN8</f>
        <v>30.303030303030305</v>
      </c>
      <c r="F68" s="45">
        <f>'Source data'!BB8</f>
        <v>32.84657142857143</v>
      </c>
      <c r="G68" s="45">
        <f>'Source data'!BP8</f>
        <v>31.545932914046123</v>
      </c>
      <c r="H68" s="45">
        <f>'Source data'!CD8</f>
        <v>25.329371781668382</v>
      </c>
      <c r="I68" s="45">
        <f>'Source data'!CR8</f>
        <v>35.493827160493829</v>
      </c>
      <c r="J68" s="45">
        <f>'Source data'!DF8</f>
        <v>38.234581497797357</v>
      </c>
      <c r="K68" s="45">
        <f>'Source data'!DT8</f>
        <v>52.710843373493979</v>
      </c>
      <c r="L68" s="45"/>
      <c r="N68" s="3">
        <f>MAX(C68:K68)</f>
        <v>52.710843373493979</v>
      </c>
      <c r="O68" s="3">
        <f>AVERAGE(C68:K68)</f>
        <v>29.373717627751766</v>
      </c>
      <c r="P68" s="3">
        <f>MIN(C68:K68)</f>
        <v>6.1224489795918364</v>
      </c>
      <c r="Q68" s="3">
        <f>AVERAGE(I68:K68)</f>
        <v>42.146417343928391</v>
      </c>
      <c r="R68" s="3">
        <f>AVERAGE(J68:K68)</f>
        <v>45.472712435645668</v>
      </c>
      <c r="S68" s="3">
        <f>K68</f>
        <v>52.710843373493979</v>
      </c>
      <c r="T68" s="26">
        <f>TREND(C68:K68,$C$8:$K$8,$L$8)</f>
        <v>51.756314503069007</v>
      </c>
    </row>
    <row r="69" spans="2:20">
      <c r="B69" s="24">
        <f>'Source data'!C9</f>
        <v>2</v>
      </c>
      <c r="C69" s="45">
        <f>'Source data'!L9</f>
        <v>13.186813186813186</v>
      </c>
      <c r="D69" s="45">
        <f>'Source data'!Z9</f>
        <v>11.727078891257996</v>
      </c>
      <c r="E69" s="45">
        <f>'Source data'!AN9</f>
        <v>31.25</v>
      </c>
      <c r="F69" s="45">
        <f>'Source data'!BB9</f>
        <v>15.65123076923077</v>
      </c>
      <c r="G69" s="45">
        <f>'Source data'!BP9</f>
        <v>26.11625215889465</v>
      </c>
      <c r="H69" s="45">
        <f>'Source data'!CD9</f>
        <v>12.881064834693001</v>
      </c>
      <c r="I69" s="45">
        <f>'Source data'!CR9</f>
        <v>25</v>
      </c>
      <c r="J69" s="45">
        <f>'Source data'!DF9</f>
        <v>27.069925742574256</v>
      </c>
      <c r="K69" s="45">
        <f>'Source data'!DT9</f>
        <v>47.233468286099864</v>
      </c>
      <c r="L69" s="45"/>
      <c r="N69" s="3">
        <f t="shared" ref="N69:N89" si="23">MAX(C69:K69)</f>
        <v>47.233468286099864</v>
      </c>
      <c r="O69" s="3">
        <f t="shared" ref="O69:O89" si="24">AVERAGE(C69:K69)</f>
        <v>23.346203763284862</v>
      </c>
      <c r="P69" s="3">
        <f t="shared" ref="P69:P89" si="25">MIN(C69:K69)</f>
        <v>11.727078891257996</v>
      </c>
      <c r="Q69" s="3">
        <f t="shared" ref="Q69:Q89" si="26">AVERAGE(I69:K69)</f>
        <v>33.101131342891371</v>
      </c>
      <c r="R69" s="3">
        <f t="shared" ref="R69:R89" si="27">AVERAGE(J69:K69)</f>
        <v>37.15169701433706</v>
      </c>
      <c r="S69" s="3">
        <f t="shared" ref="S69:S89" si="28">K69</f>
        <v>47.233468286099864</v>
      </c>
      <c r="T69" s="26">
        <f t="shared" ref="T69:T89" si="29">TREND(C69:K69,$C$8:$K$8,$L$8)</f>
        <v>37.258286681331811</v>
      </c>
    </row>
    <row r="70" spans="2:20">
      <c r="B70" s="24">
        <f>'Source data'!C10</f>
        <v>3</v>
      </c>
      <c r="C70" s="45">
        <f>'Source data'!L10</f>
        <v>12.180974477958237</v>
      </c>
      <c r="D70" s="45">
        <f>'Source data'!Z10</f>
        <v>14.680591286307054</v>
      </c>
      <c r="E70" s="45">
        <f>'Source data'!AN10</f>
        <v>29.914529914529915</v>
      </c>
      <c r="F70" s="45">
        <f>'Source data'!BB10</f>
        <v>20.986020881670534</v>
      </c>
      <c r="G70" s="45">
        <f>'Source data'!BP10</f>
        <v>31.564768518518516</v>
      </c>
      <c r="H70" s="45">
        <f>'Source data'!CD10</f>
        <v>13.793103448275861</v>
      </c>
      <c r="I70" s="45">
        <f>'Source data'!CR10</f>
        <v>37.76223776223776</v>
      </c>
      <c r="J70" s="45">
        <f>'Source data'!DF10</f>
        <v>33.227329192546584</v>
      </c>
      <c r="K70" s="45">
        <f>'Source data'!DT10</f>
        <v>37.533512064343164</v>
      </c>
      <c r="L70" s="45"/>
      <c r="N70" s="3">
        <f t="shared" si="23"/>
        <v>37.76223776223776</v>
      </c>
      <c r="O70" s="3">
        <f t="shared" si="24"/>
        <v>25.738118616265293</v>
      </c>
      <c r="P70" s="3">
        <f t="shared" si="25"/>
        <v>12.180974477958237</v>
      </c>
      <c r="Q70" s="3">
        <f t="shared" si="26"/>
        <v>36.17435967304251</v>
      </c>
      <c r="R70" s="3">
        <f t="shared" si="27"/>
        <v>35.380420628444874</v>
      </c>
      <c r="S70" s="3">
        <f t="shared" si="28"/>
        <v>37.533512064343164</v>
      </c>
      <c r="T70" s="26">
        <f t="shared" si="29"/>
        <v>39.534190476788353</v>
      </c>
    </row>
    <row r="71" spans="2:20">
      <c r="B71" s="24">
        <f>'Source data'!C11</f>
        <v>4</v>
      </c>
      <c r="C71" s="45">
        <f>'Source data'!L11</f>
        <v>8.2742316784869985</v>
      </c>
      <c r="D71" s="45">
        <f>'Source data'!Z11</f>
        <v>13.086458333333335</v>
      </c>
      <c r="E71" s="45">
        <f>'Source data'!AN11</f>
        <v>27.113237639553429</v>
      </c>
      <c r="F71" s="45">
        <f>'Source data'!BB11</f>
        <v>14.104905437352246</v>
      </c>
      <c r="G71" s="45">
        <f>'Source data'!BP11</f>
        <v>23.323477337110482</v>
      </c>
      <c r="H71" s="45">
        <f>'Source data'!CD11</f>
        <v>13.066202090592334</v>
      </c>
      <c r="I71" s="45">
        <f>'Source data'!CR11</f>
        <v>36.616161616161619</v>
      </c>
      <c r="J71" s="45">
        <f>'Source data'!DF11</f>
        <v>39.61598557692308</v>
      </c>
      <c r="K71" s="45">
        <f>'Source data'!DT11</f>
        <v>31.630170316301705</v>
      </c>
      <c r="L71" s="45"/>
      <c r="N71" s="3">
        <f t="shared" si="23"/>
        <v>39.61598557692308</v>
      </c>
      <c r="O71" s="3">
        <f t="shared" si="24"/>
        <v>22.981203336201688</v>
      </c>
      <c r="P71" s="3">
        <f t="shared" si="25"/>
        <v>8.2742316784869985</v>
      </c>
      <c r="Q71" s="3">
        <f t="shared" si="26"/>
        <v>35.954105836462134</v>
      </c>
      <c r="R71" s="3">
        <f t="shared" si="27"/>
        <v>35.623077946612391</v>
      </c>
      <c r="S71" s="3">
        <f t="shared" si="28"/>
        <v>31.630170316301705</v>
      </c>
      <c r="T71" s="26">
        <f t="shared" si="29"/>
        <v>38.896160076908018</v>
      </c>
    </row>
    <row r="72" spans="2:20">
      <c r="B72" s="24">
        <f>'Source data'!C12</f>
        <v>5</v>
      </c>
      <c r="C72" s="45">
        <f>'Source data'!L12</f>
        <v>10.23391812865497</v>
      </c>
      <c r="D72" s="45">
        <f>'Source data'!Z12</f>
        <v>10.673234811165846</v>
      </c>
      <c r="E72" s="45">
        <f>'Source data'!AN12</f>
        <v>33.568904593639573</v>
      </c>
      <c r="F72" s="45">
        <f>'Source data'!BB12</f>
        <v>19.185838206627679</v>
      </c>
      <c r="G72" s="45">
        <f>'Source data'!BP12</f>
        <v>27.90764416315049</v>
      </c>
      <c r="H72" s="45">
        <f>'Source data'!CD12</f>
        <v>12.636899747262005</v>
      </c>
      <c r="I72" s="45">
        <f>'Source data'!CR12</f>
        <v>22.058823529411764</v>
      </c>
      <c r="J72" s="45">
        <f>'Source data'!DF12</f>
        <v>16.534410844629821</v>
      </c>
      <c r="K72" s="45">
        <f>'Source data'!DT12</f>
        <v>31.385281385281385</v>
      </c>
      <c r="L72" s="45"/>
      <c r="N72" s="3">
        <f t="shared" si="23"/>
        <v>33.568904593639573</v>
      </c>
      <c r="O72" s="3">
        <f t="shared" si="24"/>
        <v>20.46499504553595</v>
      </c>
      <c r="P72" s="3">
        <f t="shared" si="25"/>
        <v>10.23391812865497</v>
      </c>
      <c r="Q72" s="3">
        <f t="shared" si="26"/>
        <v>23.326171919774325</v>
      </c>
      <c r="R72" s="3">
        <f t="shared" si="27"/>
        <v>23.959846114955603</v>
      </c>
      <c r="S72" s="3">
        <f t="shared" si="28"/>
        <v>31.385281385281385</v>
      </c>
      <c r="T72" s="26">
        <f t="shared" si="29"/>
        <v>26.516651757125601</v>
      </c>
    </row>
    <row r="73" spans="2:20">
      <c r="B73" s="24">
        <f>'Source data'!C13</f>
        <v>6</v>
      </c>
      <c r="C73" s="45">
        <f>'Source data'!L13</f>
        <v>14.234875444839858</v>
      </c>
      <c r="D73" s="45">
        <f>'Source data'!Z13</f>
        <v>9.2710618066561015</v>
      </c>
      <c r="E73" s="45">
        <f>'Source data'!AN13</f>
        <v>22.857142857142858</v>
      </c>
      <c r="F73" s="45">
        <f>'Source data'!BB13</f>
        <v>26.321841637010674</v>
      </c>
      <c r="G73" s="45">
        <f>'Source data'!BP13</f>
        <v>31.826540436456995</v>
      </c>
      <c r="H73" s="45">
        <f>'Source data'!CD13</f>
        <v>11.144130757800891</v>
      </c>
      <c r="I73" s="45">
        <f>'Source data'!CR13</f>
        <v>39.855072463768117</v>
      </c>
      <c r="J73" s="45">
        <f>'Source data'!DF13</f>
        <v>34.327906976744188</v>
      </c>
      <c r="K73" s="45">
        <f>'Source data'!DT13</f>
        <v>32.738095238095241</v>
      </c>
      <c r="L73" s="45"/>
      <c r="N73" s="3">
        <f t="shared" si="23"/>
        <v>39.855072463768117</v>
      </c>
      <c r="O73" s="3">
        <f t="shared" si="24"/>
        <v>24.730740846501661</v>
      </c>
      <c r="P73" s="3">
        <f t="shared" si="25"/>
        <v>9.2710618066561015</v>
      </c>
      <c r="Q73" s="3">
        <f t="shared" si="26"/>
        <v>35.640358226202515</v>
      </c>
      <c r="R73" s="3">
        <f t="shared" si="27"/>
        <v>33.533001107419715</v>
      </c>
      <c r="S73" s="3">
        <f t="shared" si="28"/>
        <v>32.738095238095241</v>
      </c>
      <c r="T73" s="26">
        <f t="shared" si="29"/>
        <v>38.730871097945055</v>
      </c>
    </row>
    <row r="74" spans="2:20">
      <c r="B74" s="24">
        <f>'Source data'!C14</f>
        <v>7</v>
      </c>
      <c r="C74" s="45">
        <f>'Source data'!L14</f>
        <v>8.207934336525307</v>
      </c>
      <c r="D74" s="45">
        <f>'Source data'!Z14</f>
        <v>20.694707401032701</v>
      </c>
      <c r="E74" s="45">
        <f>'Source data'!AN14</f>
        <v>28.862478777589136</v>
      </c>
      <c r="F74" s="45">
        <f>'Source data'!BB14</f>
        <v>13.355280437756496</v>
      </c>
      <c r="G74" s="45">
        <f>'Source data'!BP14</f>
        <v>26.996705035971221</v>
      </c>
      <c r="H74" s="45">
        <f>'Source data'!CD14</f>
        <v>11.476664116296863</v>
      </c>
      <c r="I74" s="45">
        <f>'Source data'!CR14</f>
        <v>26.682134570765662</v>
      </c>
      <c r="J74" s="45">
        <f>'Source data'!DF14</f>
        <v>27.491683991683992</v>
      </c>
      <c r="K74" s="45">
        <f>'Source data'!DT14</f>
        <v>37.298387096774192</v>
      </c>
      <c r="L74" s="45"/>
      <c r="N74" s="3">
        <f t="shared" si="23"/>
        <v>37.298387096774192</v>
      </c>
      <c r="O74" s="3">
        <f t="shared" si="24"/>
        <v>22.340663973821727</v>
      </c>
      <c r="P74" s="3">
        <f t="shared" si="25"/>
        <v>8.207934336525307</v>
      </c>
      <c r="Q74" s="3">
        <f t="shared" si="26"/>
        <v>30.490735219741282</v>
      </c>
      <c r="R74" s="3">
        <f t="shared" si="27"/>
        <v>32.395035544229088</v>
      </c>
      <c r="S74" s="3">
        <f t="shared" si="28"/>
        <v>37.298387096774192</v>
      </c>
      <c r="T74" s="26">
        <f t="shared" si="29"/>
        <v>33.216783646975273</v>
      </c>
    </row>
    <row r="75" spans="2:20">
      <c r="B75" s="24">
        <f>'Source data'!C15</f>
        <v>8</v>
      </c>
      <c r="C75" s="45">
        <f>'Source data'!L15</f>
        <v>10.888501742160278</v>
      </c>
      <c r="D75" s="45">
        <f>'Source data'!Z15</f>
        <v>12.910798122065728</v>
      </c>
      <c r="E75" s="45">
        <f>'Source data'!AN15</f>
        <v>20.547945205479451</v>
      </c>
      <c r="F75" s="45">
        <f>'Source data'!BB15</f>
        <v>12.884102787456447</v>
      </c>
      <c r="G75" s="45">
        <f>'Source data'!BP15</f>
        <v>23.796819425444596</v>
      </c>
      <c r="H75" s="45">
        <f>'Source data'!CD15</f>
        <v>11.355034065102195</v>
      </c>
      <c r="I75" s="45">
        <f>'Source data'!CR15</f>
        <v>33.997655334114889</v>
      </c>
      <c r="J75" s="45">
        <f>'Source data'!DF15</f>
        <v>40.119016817593788</v>
      </c>
      <c r="K75" s="45">
        <f>'Source data'!DT15</f>
        <v>28.717948717948719</v>
      </c>
      <c r="L75" s="45"/>
      <c r="N75" s="3">
        <f t="shared" si="23"/>
        <v>40.119016817593788</v>
      </c>
      <c r="O75" s="3">
        <f t="shared" si="24"/>
        <v>21.690869135262901</v>
      </c>
      <c r="P75" s="3">
        <f t="shared" si="25"/>
        <v>10.888501742160278</v>
      </c>
      <c r="Q75" s="3">
        <f t="shared" si="26"/>
        <v>34.278206956552467</v>
      </c>
      <c r="R75" s="3">
        <f t="shared" si="27"/>
        <v>34.418482767771252</v>
      </c>
      <c r="S75" s="3">
        <f t="shared" si="28"/>
        <v>28.717948717948719</v>
      </c>
      <c r="T75" s="26">
        <f t="shared" si="29"/>
        <v>36.550268762317501</v>
      </c>
    </row>
    <row r="76" spans="2:20">
      <c r="B76" s="24">
        <f>'Source data'!C16</f>
        <v>9</v>
      </c>
      <c r="C76" s="45">
        <f>'Source data'!L16</f>
        <v>7.7487765089722673</v>
      </c>
      <c r="D76" s="45">
        <f>'Source data'!Z16</f>
        <v>9.2190582191780823</v>
      </c>
      <c r="E76" s="45">
        <f>'Source data'!AN16</f>
        <v>49.815498154981547</v>
      </c>
      <c r="F76" s="45">
        <f>'Source data'!BB16</f>
        <v>16.871721044045678</v>
      </c>
      <c r="G76" s="45">
        <f>'Source data'!BP16</f>
        <v>32.886020689655169</v>
      </c>
      <c r="H76" s="45">
        <f>'Source data'!CD16</f>
        <v>13.123359580052494</v>
      </c>
      <c r="I76" s="45">
        <f>'Source data'!CR16</f>
        <v>39.113428943937421</v>
      </c>
      <c r="J76" s="45">
        <f>'Source data'!DF16</f>
        <v>36.307494866529773</v>
      </c>
      <c r="K76" s="45">
        <f>'Source data'!DT16</f>
        <v>39.045553145336228</v>
      </c>
      <c r="L76" s="45"/>
      <c r="N76" s="3">
        <f t="shared" si="23"/>
        <v>49.815498154981547</v>
      </c>
      <c r="O76" s="3">
        <f t="shared" si="24"/>
        <v>27.125656794743186</v>
      </c>
      <c r="P76" s="3">
        <f t="shared" si="25"/>
        <v>7.7487765089722673</v>
      </c>
      <c r="Q76" s="3">
        <f t="shared" si="26"/>
        <v>38.155492318601141</v>
      </c>
      <c r="R76" s="3">
        <f t="shared" si="27"/>
        <v>37.676524005933004</v>
      </c>
      <c r="S76" s="3">
        <f t="shared" si="28"/>
        <v>39.045553145336228</v>
      </c>
      <c r="T76" s="26">
        <f t="shared" si="29"/>
        <v>42.233983178195558</v>
      </c>
    </row>
    <row r="77" spans="2:20">
      <c r="B77" s="24">
        <f>'Source data'!C17</f>
        <v>10</v>
      </c>
      <c r="C77" s="45">
        <f>'Source data'!L17</f>
        <v>16.089108910891088</v>
      </c>
      <c r="D77" s="45">
        <f>'Source data'!Z17</f>
        <v>17.330774021352315</v>
      </c>
      <c r="E77" s="45">
        <f>'Source data'!AN17</f>
        <v>35.580524344569291</v>
      </c>
      <c r="F77" s="45">
        <f>'Source data'!BB17</f>
        <v>15.221732673267327</v>
      </c>
      <c r="G77" s="45">
        <f>'Source data'!BP17</f>
        <v>31.785843558282213</v>
      </c>
      <c r="H77" s="45">
        <f>'Source data'!CD17</f>
        <v>18.6219739292365</v>
      </c>
      <c r="I77" s="45">
        <f>'Source data'!CR17</f>
        <v>39.548022598870055</v>
      </c>
      <c r="J77" s="45">
        <f>'Source data'!DF17</f>
        <v>41.440039643211101</v>
      </c>
      <c r="K77" s="45">
        <f>'Source data'!DT17</f>
        <v>43.859649122807021</v>
      </c>
      <c r="L77" s="45"/>
      <c r="N77" s="3">
        <f t="shared" si="23"/>
        <v>43.859649122807021</v>
      </c>
      <c r="O77" s="3">
        <f t="shared" si="24"/>
        <v>28.830852089165212</v>
      </c>
      <c r="P77" s="3">
        <f t="shared" si="25"/>
        <v>15.221732673267327</v>
      </c>
      <c r="Q77" s="3">
        <f t="shared" si="26"/>
        <v>41.615903788296059</v>
      </c>
      <c r="R77" s="3">
        <f t="shared" si="27"/>
        <v>42.649844383009061</v>
      </c>
      <c r="S77" s="3">
        <f t="shared" si="28"/>
        <v>43.859649122807021</v>
      </c>
      <c r="T77" s="26">
        <f t="shared" si="29"/>
        <v>45.059618378983032</v>
      </c>
    </row>
    <row r="78" spans="2:20">
      <c r="B78" s="24">
        <f>'Source data'!C18</f>
        <v>11</v>
      </c>
      <c r="C78" s="45">
        <f>'Source data'!L18</f>
        <v>12.184115523465705</v>
      </c>
      <c r="D78" s="45">
        <f>'Source data'!Z18</f>
        <v>12.824779874213837</v>
      </c>
      <c r="E78" s="45">
        <f>'Source data'!AN18</f>
        <v>29.182879377431906</v>
      </c>
      <c r="F78" s="45">
        <f>'Source data'!BB18</f>
        <v>16.574458483754512</v>
      </c>
      <c r="G78" s="45">
        <f>'Source data'!BP18</f>
        <v>26.383713136729224</v>
      </c>
      <c r="H78" s="45">
        <f>'Source data'!CD18</f>
        <v>20.193861066235865</v>
      </c>
      <c r="I78" s="45">
        <f>'Source data'!CR18</f>
        <v>27.348394768133176</v>
      </c>
      <c r="J78" s="45">
        <f>'Source data'!DF18</f>
        <v>30.008791208791209</v>
      </c>
      <c r="K78" s="45">
        <f>'Source data'!DT18</f>
        <v>31.925849639546858</v>
      </c>
      <c r="L78" s="45"/>
      <c r="N78" s="3">
        <f t="shared" si="23"/>
        <v>31.925849639546858</v>
      </c>
      <c r="O78" s="3">
        <f t="shared" si="24"/>
        <v>22.958538119811365</v>
      </c>
      <c r="P78" s="3">
        <f t="shared" si="25"/>
        <v>12.184115523465705</v>
      </c>
      <c r="Q78" s="3">
        <f t="shared" si="26"/>
        <v>29.761011872157081</v>
      </c>
      <c r="R78" s="3">
        <f t="shared" si="27"/>
        <v>30.967320424169031</v>
      </c>
      <c r="S78" s="3">
        <f t="shared" si="28"/>
        <v>31.925849639546858</v>
      </c>
      <c r="T78" s="26">
        <f t="shared" si="29"/>
        <v>33.830988439140128</v>
      </c>
    </row>
    <row r="79" spans="2:20">
      <c r="B79" s="24">
        <f>'Source data'!C19</f>
        <v>12</v>
      </c>
      <c r="C79" s="45">
        <f>'Source data'!L19</f>
        <v>8.2508250825082516</v>
      </c>
      <c r="D79" s="45">
        <f>'Source data'!Z19</f>
        <v>11.037561983471075</v>
      </c>
      <c r="E79" s="45">
        <f>'Source data'!AN19</f>
        <v>18.450184501845019</v>
      </c>
      <c r="F79" s="45">
        <f>'Source data'!BB19</f>
        <v>15.931394389438942</v>
      </c>
      <c r="G79" s="45">
        <f>'Source data'!BP19</f>
        <v>17.240649414062499</v>
      </c>
      <c r="H79" s="45">
        <f>'Source data'!CD19</f>
        <v>20.781379883624272</v>
      </c>
      <c r="I79" s="45">
        <f>'Source data'!CR19</f>
        <v>27.127003699136868</v>
      </c>
      <c r="J79" s="45">
        <f>'Source data'!DF19</f>
        <v>23.987124463519315</v>
      </c>
      <c r="K79" s="45">
        <f>'Source data'!DT19</f>
        <v>33.126293995859214</v>
      </c>
      <c r="L79" s="45"/>
      <c r="N79" s="3">
        <f t="shared" si="23"/>
        <v>33.126293995859214</v>
      </c>
      <c r="O79" s="3">
        <f t="shared" si="24"/>
        <v>19.548046379273941</v>
      </c>
      <c r="P79" s="3">
        <f t="shared" si="25"/>
        <v>8.2508250825082516</v>
      </c>
      <c r="Q79" s="3">
        <f t="shared" si="26"/>
        <v>28.080140719505135</v>
      </c>
      <c r="R79" s="3">
        <f t="shared" si="27"/>
        <v>28.556709229689265</v>
      </c>
      <c r="S79" s="3">
        <f t="shared" si="28"/>
        <v>33.126293995859214</v>
      </c>
      <c r="T79" s="26">
        <f t="shared" si="29"/>
        <v>32.927561961133506</v>
      </c>
    </row>
    <row r="80" spans="2:20">
      <c r="B80" s="24">
        <f>'Source data'!C20</f>
        <v>13</v>
      </c>
      <c r="C80" s="45">
        <f>'Source data'!L20</f>
        <v>8.5341365461847385</v>
      </c>
      <c r="D80" s="45">
        <f>'Source data'!Z20</f>
        <v>14.390985790408525</v>
      </c>
      <c r="E80" s="45">
        <f>'Source data'!AN20</f>
        <v>46.966731898238748</v>
      </c>
      <c r="F80" s="45">
        <f>'Source data'!BB20</f>
        <v>17.597369477911645</v>
      </c>
      <c r="G80" s="45">
        <f>'Source data'!BP20</f>
        <v>19.906352509179925</v>
      </c>
      <c r="H80" s="45">
        <f>'Source data'!CD20</f>
        <v>19.440124416796266</v>
      </c>
      <c r="I80" s="45">
        <f>'Source data'!CR20</f>
        <v>28.325123152709359</v>
      </c>
      <c r="J80" s="45">
        <f>'Source data'!DF20</f>
        <v>23.684324324324326</v>
      </c>
      <c r="K80" s="45">
        <f>'Source data'!DT20</f>
        <v>20.072992700729927</v>
      </c>
      <c r="L80" s="45"/>
      <c r="N80" s="3">
        <f t="shared" si="23"/>
        <v>46.966731898238748</v>
      </c>
      <c r="O80" s="3">
        <f t="shared" si="24"/>
        <v>22.102015646275941</v>
      </c>
      <c r="P80" s="3">
        <f t="shared" si="25"/>
        <v>8.5341365461847385</v>
      </c>
      <c r="Q80" s="3">
        <f t="shared" si="26"/>
        <v>24.02748005925454</v>
      </c>
      <c r="R80" s="3">
        <f t="shared" si="27"/>
        <v>21.878658512527124</v>
      </c>
      <c r="S80" s="3">
        <f t="shared" si="28"/>
        <v>20.072992700729927</v>
      </c>
      <c r="T80" s="26">
        <f t="shared" si="29"/>
        <v>25.31826378525534</v>
      </c>
    </row>
    <row r="81" spans="2:20">
      <c r="B81" s="24">
        <f>'Source data'!C21</f>
        <v>14</v>
      </c>
      <c r="C81" s="45">
        <f>'Source data'!L21</f>
        <v>21.410579345088163</v>
      </c>
      <c r="D81" s="45">
        <f>'Source data'!Z21</f>
        <v>16.708301343570056</v>
      </c>
      <c r="E81" s="45">
        <f>'Source data'!AN21</f>
        <v>33.50083752093802</v>
      </c>
      <c r="F81" s="45">
        <f>'Source data'!BB21</f>
        <v>27.909659949622164</v>
      </c>
      <c r="G81" s="45">
        <f>'Source data'!BP21</f>
        <v>27.387724839400427</v>
      </c>
      <c r="H81" s="45">
        <f>'Source data'!CD21</f>
        <v>19.432568985619898</v>
      </c>
      <c r="I81" s="45">
        <f>'Source data'!CR21</f>
        <v>38.00786369593709</v>
      </c>
      <c r="J81" s="45">
        <f>'Source data'!DF21</f>
        <v>26.079129574678536</v>
      </c>
      <c r="K81" s="45">
        <f>'Source data'!DT21</f>
        <v>42.630937880633375</v>
      </c>
      <c r="L81" s="45"/>
      <c r="N81" s="3">
        <f t="shared" si="23"/>
        <v>42.630937880633375</v>
      </c>
      <c r="O81" s="3">
        <f t="shared" si="24"/>
        <v>28.118622570609752</v>
      </c>
      <c r="P81" s="3">
        <f t="shared" si="25"/>
        <v>16.708301343570056</v>
      </c>
      <c r="Q81" s="3">
        <f t="shared" si="26"/>
        <v>35.572643717082997</v>
      </c>
      <c r="R81" s="3">
        <f t="shared" si="27"/>
        <v>34.355033727655957</v>
      </c>
      <c r="S81" s="3">
        <f t="shared" si="28"/>
        <v>42.630937880633375</v>
      </c>
      <c r="T81" s="26">
        <f t="shared" si="29"/>
        <v>37.579529255734997</v>
      </c>
    </row>
    <row r="82" spans="2:20">
      <c r="B82" s="24">
        <f>'Source data'!C22</f>
        <v>15</v>
      </c>
      <c r="C82" s="45">
        <f>'Source data'!L22</f>
        <v>10.236220472440944</v>
      </c>
      <c r="D82" s="45">
        <f>'Source data'!Z22</f>
        <v>12.47724958949097</v>
      </c>
      <c r="E82" s="45">
        <f>'Source data'!AN22</f>
        <v>34.412955465587046</v>
      </c>
      <c r="F82" s="45">
        <f>'Source data'!BB22</f>
        <v>14.356692913385826</v>
      </c>
      <c r="G82" s="45">
        <f>'Source data'!BP22</f>
        <v>18.681336161187698</v>
      </c>
      <c r="H82" s="45">
        <f>'Source data'!CD22</f>
        <v>20.938023450586265</v>
      </c>
      <c r="I82" s="45">
        <f>'Source data'!CR22</f>
        <v>32.296650717703351</v>
      </c>
      <c r="J82" s="45">
        <f>'Source data'!DF22</f>
        <v>29.450462962962963</v>
      </c>
      <c r="K82" s="45">
        <f>'Source data'!DT22</f>
        <v>33.881897386253627</v>
      </c>
      <c r="L82" s="45"/>
      <c r="N82" s="3">
        <f t="shared" si="23"/>
        <v>34.412955465587046</v>
      </c>
      <c r="O82" s="3">
        <f t="shared" si="24"/>
        <v>22.970165457733188</v>
      </c>
      <c r="P82" s="3">
        <f t="shared" si="25"/>
        <v>10.236220472440944</v>
      </c>
      <c r="Q82" s="3">
        <f t="shared" si="26"/>
        <v>31.876337022306647</v>
      </c>
      <c r="R82" s="3">
        <f t="shared" si="27"/>
        <v>31.666180174608293</v>
      </c>
      <c r="S82" s="3">
        <f t="shared" si="28"/>
        <v>33.881897386253627</v>
      </c>
      <c r="T82" s="26">
        <f t="shared" si="29"/>
        <v>35.291087859158324</v>
      </c>
    </row>
    <row r="83" spans="2:20">
      <c r="B83" s="24">
        <f>'Source data'!C23</f>
        <v>16</v>
      </c>
      <c r="C83" s="45">
        <f>'Source data'!L23</f>
        <v>24.752475247524753</v>
      </c>
      <c r="D83" s="45">
        <f>'Source data'!Z23</f>
        <v>10.82374350086655</v>
      </c>
      <c r="E83" s="45">
        <f>'Source data'!AN23</f>
        <v>24.137931034482758</v>
      </c>
      <c r="F83" s="45">
        <f>'Source data'!BB23</f>
        <v>18.598242574257426</v>
      </c>
      <c r="G83" s="45">
        <f>'Source data'!BP23</f>
        <v>32.033938253012046</v>
      </c>
      <c r="H83" s="45">
        <f>'Source data'!CD23</f>
        <v>23.942537909018355</v>
      </c>
      <c r="I83" s="45">
        <f>'Source data'!CR23</f>
        <v>33.007334963325185</v>
      </c>
      <c r="J83" s="45">
        <f>'Source data'!DF23</f>
        <v>34.130759651307599</v>
      </c>
      <c r="K83" s="45">
        <f>'Source data'!DT23</f>
        <v>36.956521739130437</v>
      </c>
      <c r="L83" s="45"/>
      <c r="N83" s="3">
        <f t="shared" si="23"/>
        <v>36.956521739130437</v>
      </c>
      <c r="O83" s="3">
        <f t="shared" si="24"/>
        <v>26.487053874769458</v>
      </c>
      <c r="P83" s="3">
        <f t="shared" si="25"/>
        <v>10.82374350086655</v>
      </c>
      <c r="Q83" s="3">
        <f t="shared" si="26"/>
        <v>34.69820545125441</v>
      </c>
      <c r="R83" s="3">
        <f t="shared" si="27"/>
        <v>35.543640695219018</v>
      </c>
      <c r="S83" s="3">
        <f t="shared" si="28"/>
        <v>36.956521739130437</v>
      </c>
      <c r="T83" s="26">
        <f t="shared" si="29"/>
        <v>38.305415342284505</v>
      </c>
    </row>
    <row r="84" spans="2:20">
      <c r="B84" s="24">
        <f>'Source data'!C24</f>
        <v>17</v>
      </c>
      <c r="C84" s="45">
        <f>'Source data'!L24</f>
        <v>12.5</v>
      </c>
      <c r="D84" s="45">
        <f>'Source data'!Z24</f>
        <v>19.291577726218097</v>
      </c>
      <c r="E84" s="45">
        <f>'Source data'!AN24</f>
        <v>23.688663282571913</v>
      </c>
      <c r="F84" s="45">
        <f>'Source data'!BB24</f>
        <v>13.175172413793105</v>
      </c>
      <c r="G84" s="45">
        <f>'Source data'!BP24</f>
        <v>19.578352941176469</v>
      </c>
      <c r="H84" s="45">
        <f>'Source data'!CD24</f>
        <v>18.663047166610113</v>
      </c>
      <c r="I84" s="45">
        <f>'Source data'!CR24</f>
        <v>18.25168107588857</v>
      </c>
      <c r="J84" s="45">
        <f>'Source data'!DF24</f>
        <v>22.63372093023256</v>
      </c>
      <c r="K84" s="45">
        <f>'Source data'!DT24</f>
        <v>24.636058230683091</v>
      </c>
      <c r="L84" s="45"/>
      <c r="N84" s="3">
        <f t="shared" si="23"/>
        <v>24.636058230683091</v>
      </c>
      <c r="O84" s="3">
        <f t="shared" si="24"/>
        <v>19.157585974130434</v>
      </c>
      <c r="P84" s="3">
        <f t="shared" si="25"/>
        <v>12.5</v>
      </c>
      <c r="Q84" s="3">
        <f t="shared" si="26"/>
        <v>21.840486745601407</v>
      </c>
      <c r="R84" s="3">
        <f t="shared" si="27"/>
        <v>23.634889580457823</v>
      </c>
      <c r="S84" s="3">
        <f t="shared" si="28"/>
        <v>24.636058230683091</v>
      </c>
      <c r="T84" s="26">
        <f t="shared" si="29"/>
        <v>23.589633713649164</v>
      </c>
    </row>
    <row r="85" spans="2:20">
      <c r="B85" s="24">
        <f>'Source data'!C25</f>
        <v>18</v>
      </c>
      <c r="C85" s="45">
        <f>'Source data'!L25</f>
        <v>17.88756388415673</v>
      </c>
      <c r="D85" s="45">
        <f>'Source data'!Z25</f>
        <v>22.412242026266416</v>
      </c>
      <c r="E85" s="45">
        <f>'Source data'!AN25</f>
        <v>23.090586145648313</v>
      </c>
      <c r="F85" s="45">
        <f>'Source data'!BB25</f>
        <v>20.155042589437819</v>
      </c>
      <c r="G85" s="45">
        <f>'Source data'!BP25</f>
        <v>30.497060212514761</v>
      </c>
      <c r="H85" s="45">
        <f>'Source data'!CD25</f>
        <v>25.360786369593708</v>
      </c>
      <c r="I85" s="45">
        <f>'Source data'!CR25</f>
        <v>40.90267983074753</v>
      </c>
      <c r="J85" s="45">
        <f>'Source data'!DF25</f>
        <v>34.238537117903931</v>
      </c>
      <c r="K85" s="45">
        <f>'Source data'!DT25</f>
        <v>41.988950276243095</v>
      </c>
      <c r="L85" s="45"/>
      <c r="N85" s="3">
        <f t="shared" si="23"/>
        <v>41.988950276243095</v>
      </c>
      <c r="O85" s="3">
        <f t="shared" si="24"/>
        <v>28.503716494723587</v>
      </c>
      <c r="P85" s="3">
        <f t="shared" si="25"/>
        <v>17.88756388415673</v>
      </c>
      <c r="Q85" s="3">
        <f t="shared" si="26"/>
        <v>39.043389074964857</v>
      </c>
      <c r="R85" s="3">
        <f t="shared" si="27"/>
        <v>38.113743697073517</v>
      </c>
      <c r="S85" s="3">
        <f t="shared" si="28"/>
        <v>41.988950276243095</v>
      </c>
      <c r="T85" s="26">
        <f t="shared" si="29"/>
        <v>42.896579994190688</v>
      </c>
    </row>
    <row r="86" spans="2:20">
      <c r="B86" s="24">
        <f>'Source data'!C26</f>
        <v>19</v>
      </c>
      <c r="C86" s="45">
        <f>'Source data'!L26</f>
        <v>10.787992495309568</v>
      </c>
      <c r="D86" s="45">
        <f>'Source data'!Z26</f>
        <v>11.588440779610195</v>
      </c>
      <c r="E86" s="45">
        <f>'Source data'!AN26</f>
        <v>51.851851851851855</v>
      </c>
      <c r="F86" s="45">
        <f>'Source data'!BB26</f>
        <v>13.388836772983115</v>
      </c>
      <c r="G86" s="45">
        <f>'Source data'!BP26</f>
        <v>22.616808252427184</v>
      </c>
      <c r="H86" s="45">
        <f>'Source data'!CD26</f>
        <v>20.373517786561266</v>
      </c>
      <c r="I86" s="45">
        <f>'Source data'!CR26</f>
        <v>27.809965237543452</v>
      </c>
      <c r="J86" s="45">
        <f>'Source data'!DF26</f>
        <v>36.714285714285715</v>
      </c>
      <c r="K86" s="45">
        <f>'Source data'!DT26</f>
        <v>37.122969837587007</v>
      </c>
      <c r="L86" s="45"/>
      <c r="N86" s="3">
        <f t="shared" si="23"/>
        <v>51.851851851851855</v>
      </c>
      <c r="O86" s="3">
        <f t="shared" si="24"/>
        <v>25.806074303128817</v>
      </c>
      <c r="P86" s="3">
        <f t="shared" si="25"/>
        <v>10.787992495309568</v>
      </c>
      <c r="Q86" s="3">
        <f t="shared" si="26"/>
        <v>33.882406929805391</v>
      </c>
      <c r="R86" s="3">
        <f t="shared" si="27"/>
        <v>36.918627775936358</v>
      </c>
      <c r="S86" s="3">
        <f t="shared" si="28"/>
        <v>37.122969837587007</v>
      </c>
      <c r="T86" s="26">
        <f t="shared" si="29"/>
        <v>37.440936966304434</v>
      </c>
    </row>
    <row r="87" spans="2:20">
      <c r="B87" s="24">
        <f>'Source data'!C27</f>
        <v>20</v>
      </c>
      <c r="C87" s="45">
        <f>'Source data'!L27</f>
        <v>10.954616588419405</v>
      </c>
      <c r="D87" s="45">
        <f>'Source data'!Z27</f>
        <v>10.419506903353057</v>
      </c>
      <c r="E87" s="45">
        <f>'Source data'!AN27</f>
        <v>25.641025641025642</v>
      </c>
      <c r="F87" s="45">
        <f>'Source data'!BB27</f>
        <v>13.506212832550862</v>
      </c>
      <c r="G87" s="45">
        <f>'Source data'!BP27</f>
        <v>22.799616724738677</v>
      </c>
      <c r="H87" s="45">
        <f>'Source data'!CD27</f>
        <v>22.913813625685201</v>
      </c>
      <c r="I87" s="45">
        <f>'Source data'!CR27</f>
        <v>27.617951668584581</v>
      </c>
      <c r="J87" s="45">
        <f>'Source data'!DF27</f>
        <v>34.287179487179486</v>
      </c>
      <c r="K87" s="45">
        <f>'Source data'!DT27</f>
        <v>31.120331950207468</v>
      </c>
      <c r="L87" s="45"/>
      <c r="N87" s="3">
        <f t="shared" si="23"/>
        <v>34.287179487179486</v>
      </c>
      <c r="O87" s="3">
        <f t="shared" si="24"/>
        <v>22.140028380193815</v>
      </c>
      <c r="P87" s="3">
        <f t="shared" si="25"/>
        <v>10.419506903353057</v>
      </c>
      <c r="Q87" s="3">
        <f t="shared" si="26"/>
        <v>31.008487701990514</v>
      </c>
      <c r="R87" s="3">
        <f t="shared" si="27"/>
        <v>32.703755718693479</v>
      </c>
      <c r="S87" s="3">
        <f t="shared" si="28"/>
        <v>31.120331950207468</v>
      </c>
      <c r="T87" s="26">
        <f t="shared" si="29"/>
        <v>35.942306050767002</v>
      </c>
    </row>
    <row r="88" spans="2:20">
      <c r="B88" s="24">
        <f>'Source data'!C28</f>
        <v>21</v>
      </c>
      <c r="C88" s="45">
        <f>'Source data'!L28</f>
        <v>6.1633281972265026</v>
      </c>
      <c r="D88" s="45">
        <f>'Source data'!Z28</f>
        <v>12.847669642857142</v>
      </c>
      <c r="E88" s="45">
        <f>'Source data'!AN28</f>
        <v>22.770398481973434</v>
      </c>
      <c r="F88" s="45">
        <f>'Source data'!BB28</f>
        <v>12.622272727272726</v>
      </c>
      <c r="G88" s="45">
        <f>'Source data'!BP28</f>
        <v>21.075574494949496</v>
      </c>
      <c r="H88" s="45">
        <f>'Source data'!CD28</f>
        <v>23.978730297723292</v>
      </c>
      <c r="I88" s="45">
        <f>'Source data'!CR28</f>
        <v>28.225806451612904</v>
      </c>
      <c r="J88" s="45">
        <f>'Source data'!DF28</f>
        <v>36.726362625139046</v>
      </c>
      <c r="K88" s="45">
        <f>'Source data'!DT28</f>
        <v>28.901734104046241</v>
      </c>
      <c r="L88" s="45"/>
      <c r="N88" s="3">
        <f t="shared" si="23"/>
        <v>36.726362625139046</v>
      </c>
      <c r="O88" s="3">
        <f t="shared" si="24"/>
        <v>21.479097446977864</v>
      </c>
      <c r="P88" s="3">
        <f t="shared" si="25"/>
        <v>6.1633281972265026</v>
      </c>
      <c r="Q88" s="3">
        <f t="shared" si="26"/>
        <v>31.284634393599394</v>
      </c>
      <c r="R88" s="3">
        <f t="shared" si="27"/>
        <v>32.814048364592644</v>
      </c>
      <c r="S88" s="3">
        <f t="shared" si="28"/>
        <v>28.901734104046241</v>
      </c>
      <c r="T88" s="26">
        <f t="shared" si="29"/>
        <v>36.883845453965478</v>
      </c>
    </row>
    <row r="89" spans="2:20">
      <c r="B89" s="24">
        <f>'Source data'!C29</f>
        <v>22</v>
      </c>
      <c r="C89" s="45">
        <f>'Source data'!L29</f>
        <v>11.138613861386139</v>
      </c>
      <c r="D89" s="45">
        <f>'Source data'!Z29</f>
        <v>9.6472188755020092</v>
      </c>
      <c r="E89" s="45">
        <f>'Source data'!AN29</f>
        <v>30.848329048843187</v>
      </c>
      <c r="F89" s="45">
        <f>'Source data'!BB29</f>
        <v>14.273205445544555</v>
      </c>
      <c r="G89" s="45">
        <f>'Source data'!BP29</f>
        <v>26.276032702237522</v>
      </c>
      <c r="H89" s="45">
        <f>'Source data'!CD29</f>
        <v>19.075974025974027</v>
      </c>
      <c r="I89" s="45">
        <f>'Source data'!CR29</f>
        <v>24.771838331160364</v>
      </c>
      <c r="J89" s="45">
        <f>'Source data'!DF29</f>
        <v>19.098503740648379</v>
      </c>
      <c r="K89" s="45">
        <f>'Source data'!DT29</f>
        <v>38.770053475935832</v>
      </c>
      <c r="L89" s="45"/>
      <c r="N89" s="3">
        <f t="shared" si="23"/>
        <v>38.770053475935832</v>
      </c>
      <c r="O89" s="3">
        <f t="shared" si="24"/>
        <v>21.544418834136891</v>
      </c>
      <c r="P89" s="3">
        <f t="shared" si="25"/>
        <v>9.6472188755020092</v>
      </c>
      <c r="Q89" s="3">
        <f t="shared" si="26"/>
        <v>27.546798515914858</v>
      </c>
      <c r="R89" s="3">
        <f t="shared" si="27"/>
        <v>28.934278608292104</v>
      </c>
      <c r="S89" s="3">
        <f t="shared" si="28"/>
        <v>38.770053475935832</v>
      </c>
      <c r="T89" s="26">
        <f t="shared" si="29"/>
        <v>32.505202184029258</v>
      </c>
    </row>
    <row r="90" spans="2:20">
      <c r="B90" s="24">
        <f>'Source data'!C30</f>
        <v>23</v>
      </c>
      <c r="C90" s="45">
        <f>'Source data'!L30</f>
        <v>15.345268542199488</v>
      </c>
      <c r="D90" s="45">
        <f>'Source data'!Z30</f>
        <v>18.099528301886792</v>
      </c>
      <c r="E90" s="45">
        <f>'Source data'!AN30</f>
        <v>30.444964871194379</v>
      </c>
      <c r="F90" s="45">
        <f>'Source data'!BB30</f>
        <v>23.193030690537086</v>
      </c>
      <c r="G90" s="45">
        <f>'Source data'!BP30</f>
        <v>31.166383136094673</v>
      </c>
      <c r="H90" s="45">
        <f>'Source data'!CD30</f>
        <v>25.096911392405065</v>
      </c>
      <c r="I90" s="45">
        <f>'Source data'!CR30</f>
        <v>58.295964125560538</v>
      </c>
      <c r="J90" s="45">
        <f>'Source data'!DF30</f>
        <v>59.840876944837341</v>
      </c>
      <c r="K90" s="45"/>
      <c r="L90" s="45"/>
      <c r="N90" s="3">
        <f t="shared" ref="N90:N107" si="30">MAX(C90:J90)</f>
        <v>59.840876944837341</v>
      </c>
      <c r="O90" s="3">
        <f t="shared" ref="O90:O107" si="31">AVERAGE(C90:J90)</f>
        <v>32.685366000589426</v>
      </c>
      <c r="P90" s="3">
        <f t="shared" ref="P90:P107" si="32">MIN(C90:J90)</f>
        <v>15.345268542199488</v>
      </c>
      <c r="Q90" s="3">
        <f t="shared" ref="Q90:Q107" si="33">AVERAGE(H90:J90)</f>
        <v>47.744584154267649</v>
      </c>
      <c r="R90" s="3">
        <f t="shared" ref="R90:R107" si="34">AVERAGE(I90:J90)</f>
        <v>59.068420535198939</v>
      </c>
      <c r="S90" s="3">
        <f t="shared" ref="S90:S107" si="35">J90</f>
        <v>59.840876944837341</v>
      </c>
      <c r="T90" s="26">
        <f t="shared" ref="T90:T107" si="36">TREND(C90:J90,$C$8:$J$8,$K$8)</f>
        <v>59.705756890554767</v>
      </c>
    </row>
    <row r="91" spans="2:20">
      <c r="B91" s="24">
        <f>'Source data'!C31</f>
        <v>24</v>
      </c>
      <c r="C91" s="45">
        <f>'Source data'!L31</f>
        <v>11.936339522546419</v>
      </c>
      <c r="D91" s="45">
        <f>'Source data'!Z31</f>
        <v>15.413703703703701</v>
      </c>
      <c r="E91" s="45">
        <f>'Source data'!AN31</f>
        <v>36.529680365296805</v>
      </c>
      <c r="F91" s="45">
        <f>'Source data'!BB31</f>
        <v>21.528633952254641</v>
      </c>
      <c r="G91" s="45">
        <f>'Source data'!BP31</f>
        <v>36.562918918918918</v>
      </c>
      <c r="H91" s="45">
        <f>'Source data'!CD31</f>
        <v>26.850704225352114</v>
      </c>
      <c r="I91" s="45">
        <f>'Source data'!CR31</f>
        <v>33.492822966507177</v>
      </c>
      <c r="J91" s="45">
        <f>'Source data'!DF31</f>
        <v>32.433429811866858</v>
      </c>
      <c r="K91" s="45"/>
      <c r="L91" s="45"/>
      <c r="N91" s="3">
        <f t="shared" si="30"/>
        <v>36.562918918918918</v>
      </c>
      <c r="O91" s="3">
        <f t="shared" si="31"/>
        <v>26.843529183305826</v>
      </c>
      <c r="P91" s="3">
        <f t="shared" si="32"/>
        <v>11.936339522546419</v>
      </c>
      <c r="Q91" s="3">
        <f t="shared" si="33"/>
        <v>30.925652334575386</v>
      </c>
      <c r="R91" s="3">
        <f t="shared" si="34"/>
        <v>32.963126389187018</v>
      </c>
      <c r="S91" s="3">
        <f t="shared" si="35"/>
        <v>32.433429811866858</v>
      </c>
      <c r="T91" s="26">
        <f t="shared" si="36"/>
        <v>38.622417659345956</v>
      </c>
    </row>
    <row r="92" spans="2:20">
      <c r="B92" s="24">
        <f>'Source data'!C32</f>
        <v>25</v>
      </c>
      <c r="C92" s="45">
        <f>'Source data'!L32</f>
        <v>11.098130841121495</v>
      </c>
      <c r="D92" s="45">
        <f>'Source data'!Z32</f>
        <v>18.030709534368071</v>
      </c>
      <c r="E92" s="45">
        <f>'Source data'!AN32</f>
        <v>37.533512064343164</v>
      </c>
      <c r="F92" s="45">
        <f>'Source data'!BB32</f>
        <v>19.298656542056076</v>
      </c>
      <c r="G92" s="45">
        <f>'Source data'!BP32</f>
        <v>38.143646616541353</v>
      </c>
      <c r="H92" s="45">
        <f>'Source data'!CD32</f>
        <v>26.958080808080808</v>
      </c>
      <c r="I92" s="45">
        <f>'Source data'!CR32</f>
        <v>34.596375617792418</v>
      </c>
      <c r="J92" s="45">
        <f>'Source data'!DF32</f>
        <v>32.56707317073171</v>
      </c>
      <c r="K92" s="45"/>
      <c r="L92" s="45"/>
      <c r="N92" s="3">
        <f t="shared" si="30"/>
        <v>38.143646616541353</v>
      </c>
      <c r="O92" s="3">
        <f t="shared" si="31"/>
        <v>27.278273149379388</v>
      </c>
      <c r="P92" s="3">
        <f t="shared" si="32"/>
        <v>11.098130841121495</v>
      </c>
      <c r="Q92" s="3">
        <f t="shared" si="33"/>
        <v>31.373843198868315</v>
      </c>
      <c r="R92" s="3">
        <f t="shared" si="34"/>
        <v>33.581724394262068</v>
      </c>
      <c r="S92" s="3">
        <f t="shared" si="35"/>
        <v>32.56707317073171</v>
      </c>
      <c r="T92" s="26">
        <f t="shared" si="36"/>
        <v>39.076288668848974</v>
      </c>
    </row>
    <row r="93" spans="2:20">
      <c r="B93" s="24">
        <f>'Source data'!C33</f>
        <v>26</v>
      </c>
      <c r="C93" s="45">
        <f>'Source data'!L33</f>
        <v>11.677282377919321</v>
      </c>
      <c r="D93" s="45">
        <f>'Source data'!Z33</f>
        <v>15.475967032967032</v>
      </c>
      <c r="E93" s="45">
        <f>'Source data'!AN33</f>
        <v>32.608695652173914</v>
      </c>
      <c r="F93" s="45">
        <f>'Source data'!BB33</f>
        <v>22.271231422505309</v>
      </c>
      <c r="G93" s="45">
        <f>'Source data'!BP33</f>
        <v>28.381669535283994</v>
      </c>
      <c r="H93" s="45">
        <f>'Source data'!CD33</f>
        <v>35.552529182879375</v>
      </c>
      <c r="I93" s="45">
        <f>'Source data'!CR33</f>
        <v>46.58901830282862</v>
      </c>
      <c r="J93" s="45">
        <f>'Source data'!DF33</f>
        <v>44.733473980309427</v>
      </c>
      <c r="K93" s="45"/>
      <c r="L93" s="45"/>
      <c r="N93" s="3">
        <f t="shared" si="30"/>
        <v>46.58901830282862</v>
      </c>
      <c r="O93" s="3">
        <f t="shared" si="31"/>
        <v>29.661233435858378</v>
      </c>
      <c r="P93" s="3">
        <f t="shared" si="32"/>
        <v>11.677282377919321</v>
      </c>
      <c r="Q93" s="3">
        <f t="shared" si="33"/>
        <v>42.291673822005812</v>
      </c>
      <c r="R93" s="3">
        <f t="shared" si="34"/>
        <v>45.661246141569023</v>
      </c>
      <c r="S93" s="3">
        <f t="shared" si="35"/>
        <v>44.733473980309427</v>
      </c>
      <c r="T93" s="26">
        <f t="shared" si="36"/>
        <v>51.191619307513974</v>
      </c>
    </row>
    <row r="94" spans="2:20">
      <c r="B94" s="24">
        <f>'Source data'!C34</f>
        <v>27</v>
      </c>
      <c r="C94" s="45">
        <f>'Source data'!L34</f>
        <v>13.671875</v>
      </c>
      <c r="D94" s="45">
        <f>'Source data'!Z34</f>
        <v>18.740177165354332</v>
      </c>
      <c r="E94" s="45">
        <f>'Source data'!AN34</f>
        <v>35.874439461883405</v>
      </c>
      <c r="F94" s="45">
        <f>'Source data'!BB34</f>
        <v>22.337174479166666</v>
      </c>
      <c r="G94" s="45">
        <f>'Source data'!BP34</f>
        <v>31.38450520833333</v>
      </c>
      <c r="H94" s="45">
        <f>'Source data'!CD34</f>
        <v>24.684462151394424</v>
      </c>
      <c r="I94" s="45">
        <f>'Source data'!CR34</f>
        <v>39.589442815249264</v>
      </c>
      <c r="J94" s="45">
        <f>'Source data'!DF34</f>
        <v>39.496397694524497</v>
      </c>
      <c r="K94" s="45"/>
      <c r="L94" s="45"/>
      <c r="N94" s="3">
        <f t="shared" si="30"/>
        <v>39.589442815249264</v>
      </c>
      <c r="O94" s="3">
        <f t="shared" si="31"/>
        <v>28.222309246988239</v>
      </c>
      <c r="P94" s="3">
        <f t="shared" si="32"/>
        <v>13.671875</v>
      </c>
      <c r="Q94" s="3">
        <f t="shared" si="33"/>
        <v>34.59010088705606</v>
      </c>
      <c r="R94" s="3">
        <f t="shared" si="34"/>
        <v>39.54292025488688</v>
      </c>
      <c r="S94" s="3">
        <f t="shared" si="35"/>
        <v>39.496397694524497</v>
      </c>
      <c r="T94" s="26">
        <f t="shared" si="36"/>
        <v>42.177419206391278</v>
      </c>
    </row>
    <row r="95" spans="2:20">
      <c r="B95" s="24">
        <f>'Source data'!C35</f>
        <v>28</v>
      </c>
      <c r="C95" s="45">
        <f>'Source data'!L35</f>
        <v>17.660044150110377</v>
      </c>
      <c r="D95" s="45">
        <f>'Source data'!Z35</f>
        <v>15.03347280334728</v>
      </c>
      <c r="E95" s="45">
        <f>'Source data'!AN35</f>
        <v>36.956521739130437</v>
      </c>
      <c r="F95" s="45">
        <f>'Source data'!BB35</f>
        <v>21.517163355408389</v>
      </c>
      <c r="G95" s="45">
        <f>'Source data'!BP35</f>
        <v>30.433887987012991</v>
      </c>
      <c r="H95" s="45">
        <f>'Source data'!CD35</f>
        <v>25.81311306143521</v>
      </c>
      <c r="I95" s="45">
        <f>'Source data'!CR35</f>
        <v>29.761904761904763</v>
      </c>
      <c r="J95" s="45">
        <f>'Source data'!DF35</f>
        <v>30.571530758226036</v>
      </c>
      <c r="K95" s="45"/>
      <c r="L95" s="45"/>
      <c r="N95" s="3">
        <f t="shared" si="30"/>
        <v>36.956521739130437</v>
      </c>
      <c r="O95" s="3">
        <f t="shared" si="31"/>
        <v>25.968454827071934</v>
      </c>
      <c r="P95" s="3">
        <f t="shared" si="32"/>
        <v>15.03347280334728</v>
      </c>
      <c r="Q95" s="3">
        <f t="shared" si="33"/>
        <v>28.715516193855336</v>
      </c>
      <c r="R95" s="3">
        <f t="shared" si="34"/>
        <v>30.166717760065399</v>
      </c>
      <c r="S95" s="3">
        <f t="shared" si="35"/>
        <v>30.571530758226036</v>
      </c>
      <c r="T95" s="26">
        <f t="shared" si="36"/>
        <v>33.442154718935399</v>
      </c>
    </row>
    <row r="96" spans="2:20">
      <c r="B96" s="24">
        <f>'Source data'!C36</f>
        <v>29</v>
      </c>
      <c r="C96" s="45">
        <f>'Source data'!L36</f>
        <v>7.701421800947867</v>
      </c>
      <c r="D96" s="45">
        <f>'Source data'!Z36</f>
        <v>16.557828054298643</v>
      </c>
      <c r="E96" s="45">
        <f>'Source data'!AN36</f>
        <v>32.051282051282051</v>
      </c>
      <c r="F96" s="45">
        <f>'Source data'!BB36</f>
        <v>21.285924170616113</v>
      </c>
      <c r="G96" s="45">
        <f>'Source data'!BP36</f>
        <v>34.91516129032258</v>
      </c>
      <c r="H96" s="45">
        <f>'Source data'!CD36</f>
        <v>25.759917568263781</v>
      </c>
      <c r="I96" s="45">
        <f>'Source data'!CR36</f>
        <v>48.048048048048045</v>
      </c>
      <c r="J96" s="45">
        <f>'Source data'!DF36</f>
        <v>47.400746268656718</v>
      </c>
      <c r="K96" s="45"/>
      <c r="L96" s="45"/>
      <c r="N96" s="3">
        <f t="shared" si="30"/>
        <v>48.048048048048045</v>
      </c>
      <c r="O96" s="3">
        <f t="shared" si="31"/>
        <v>29.215041156554474</v>
      </c>
      <c r="P96" s="3">
        <f t="shared" si="32"/>
        <v>7.701421800947867</v>
      </c>
      <c r="Q96" s="3">
        <f t="shared" si="33"/>
        <v>40.402903961656186</v>
      </c>
      <c r="R96" s="3">
        <f t="shared" si="34"/>
        <v>47.724397158352382</v>
      </c>
      <c r="S96" s="3">
        <f t="shared" si="35"/>
        <v>47.400746268656718</v>
      </c>
      <c r="T96" s="26">
        <f t="shared" si="36"/>
        <v>52.25619374119924</v>
      </c>
    </row>
    <row r="97" spans="2:20">
      <c r="B97" s="24">
        <f>'Source data'!C37</f>
        <v>30</v>
      </c>
      <c r="C97" s="45">
        <f>'Source data'!L37</f>
        <v>12.910798122065728</v>
      </c>
      <c r="D97" s="45">
        <f>'Source data'!Z37</f>
        <v>14.558006756756757</v>
      </c>
      <c r="E97" s="45">
        <f>'Source data'!AN37</f>
        <v>24</v>
      </c>
      <c r="F97" s="45">
        <f>'Source data'!BB37</f>
        <v>23.290880281690143</v>
      </c>
      <c r="G97" s="45">
        <f>'Source data'!BP37</f>
        <v>31.223584745762714</v>
      </c>
      <c r="H97" s="45">
        <f>'Source data'!CD37</f>
        <v>25.866528711846872</v>
      </c>
      <c r="I97" s="45">
        <f>'Source data'!CR37</f>
        <v>33.236994219653177</v>
      </c>
      <c r="J97" s="45">
        <f>'Source data'!DF37</f>
        <v>41.524590163934427</v>
      </c>
      <c r="K97" s="45"/>
      <c r="L97" s="45"/>
      <c r="N97" s="3">
        <f t="shared" si="30"/>
        <v>41.524590163934427</v>
      </c>
      <c r="O97" s="3">
        <f t="shared" si="31"/>
        <v>25.826422875213726</v>
      </c>
      <c r="P97" s="3">
        <f t="shared" si="32"/>
        <v>12.910798122065728</v>
      </c>
      <c r="Q97" s="3">
        <f t="shared" si="33"/>
        <v>33.542704365144829</v>
      </c>
      <c r="R97" s="3">
        <f t="shared" si="34"/>
        <v>37.380792191793802</v>
      </c>
      <c r="S97" s="3">
        <f t="shared" si="35"/>
        <v>41.524590163934427</v>
      </c>
      <c r="T97" s="26">
        <f t="shared" si="36"/>
        <v>42.284839243455281</v>
      </c>
    </row>
    <row r="98" spans="2:20">
      <c r="B98" s="24">
        <f>'Source data'!C38</f>
        <v>31</v>
      </c>
      <c r="C98" s="45">
        <f>'Source data'!L38</f>
        <v>12.396694214876034</v>
      </c>
      <c r="D98" s="45">
        <f>'Source data'!Z38</f>
        <v>29.345458167330676</v>
      </c>
      <c r="E98" s="45">
        <f>'Source data'!AN38</f>
        <v>48.387096774193552</v>
      </c>
      <c r="F98" s="45">
        <f>'Source data'!BB38</f>
        <v>15.520919421487603</v>
      </c>
      <c r="G98" s="45">
        <f>'Source data'!BP38</f>
        <v>29.479746317512276</v>
      </c>
      <c r="H98" s="45">
        <f>'Source data'!CD38</f>
        <v>27.548209366391184</v>
      </c>
      <c r="I98" s="45">
        <f>'Source data'!CR38</f>
        <v>37.58169934640523</v>
      </c>
      <c r="J98" s="45">
        <f>'Source data'!DF38</f>
        <v>29.243478260869566</v>
      </c>
      <c r="K98" s="45"/>
      <c r="L98" s="45"/>
      <c r="N98" s="3">
        <f t="shared" si="30"/>
        <v>48.387096774193552</v>
      </c>
      <c r="O98" s="3">
        <f t="shared" si="31"/>
        <v>28.687912733633262</v>
      </c>
      <c r="P98" s="3">
        <f t="shared" si="32"/>
        <v>12.396694214876034</v>
      </c>
      <c r="Q98" s="3">
        <f t="shared" si="33"/>
        <v>31.457795657888656</v>
      </c>
      <c r="R98" s="3">
        <f t="shared" si="34"/>
        <v>33.412588803637398</v>
      </c>
      <c r="S98" s="3">
        <f t="shared" si="35"/>
        <v>29.243478260869566</v>
      </c>
      <c r="T98" s="26">
        <f t="shared" si="36"/>
        <v>34.610280174165837</v>
      </c>
    </row>
    <row r="99" spans="2:20">
      <c r="B99" s="24">
        <f>'Source data'!C39</f>
        <v>32</v>
      </c>
      <c r="C99" s="45">
        <f>'Source data'!L39</f>
        <v>8.9743589743589745</v>
      </c>
      <c r="D99" s="45">
        <f>'Source data'!Z39</f>
        <v>18.768756410256408</v>
      </c>
      <c r="E99" s="45">
        <f>'Source data'!AN39</f>
        <v>30.534351145038169</v>
      </c>
      <c r="F99" s="45">
        <f>'Source data'!BB39</f>
        <v>23.939346153846152</v>
      </c>
      <c r="G99" s="45">
        <f>'Source data'!BP39</f>
        <v>33.9338127090301</v>
      </c>
      <c r="H99" s="45">
        <f>'Source data'!CD39</f>
        <v>30.172726244343888</v>
      </c>
      <c r="I99" s="45">
        <f>'Source data'!CR39</f>
        <v>42.735042735042732</v>
      </c>
      <c r="J99" s="45">
        <f>'Source data'!DF39</f>
        <v>42.812695924764888</v>
      </c>
      <c r="K99" s="45"/>
      <c r="L99" s="45"/>
      <c r="N99" s="3">
        <f t="shared" si="30"/>
        <v>42.812695924764888</v>
      </c>
      <c r="O99" s="3">
        <f t="shared" si="31"/>
        <v>28.983886287085163</v>
      </c>
      <c r="P99" s="3">
        <f t="shared" si="32"/>
        <v>8.9743589743589745</v>
      </c>
      <c r="Q99" s="3">
        <f t="shared" si="33"/>
        <v>38.573488301383833</v>
      </c>
      <c r="R99" s="3">
        <f t="shared" si="34"/>
        <v>42.77386932990381</v>
      </c>
      <c r="S99" s="3">
        <f t="shared" si="35"/>
        <v>42.812695924764888</v>
      </c>
      <c r="T99" s="26">
        <f t="shared" si="36"/>
        <v>48.57010318689936</v>
      </c>
    </row>
    <row r="100" spans="2:20">
      <c r="B100" s="24">
        <f>'Source data'!C40</f>
        <v>33</v>
      </c>
      <c r="C100" s="45">
        <f>'Source data'!L40</f>
        <v>19.662921348314608</v>
      </c>
      <c r="D100" s="45">
        <f>'Source data'!Z40</f>
        <v>11.489524886877827</v>
      </c>
      <c r="E100" s="45">
        <f>'Source data'!AN40</f>
        <v>36.297640653357533</v>
      </c>
      <c r="F100" s="45">
        <f>'Source data'!BB40</f>
        <v>22.382921348314607</v>
      </c>
      <c r="G100" s="45">
        <f>'Source data'!BP40</f>
        <v>23.661379310344827</v>
      </c>
      <c r="H100" s="45">
        <f>'Source data'!CD40</f>
        <v>14.742014742014742</v>
      </c>
      <c r="I100" s="45">
        <f>'Source data'!CR40</f>
        <v>36.529680365296805</v>
      </c>
      <c r="J100" s="45">
        <f>'Source data'!DF40</f>
        <v>35.623801916932905</v>
      </c>
      <c r="K100" s="45"/>
      <c r="L100" s="45"/>
      <c r="N100" s="3">
        <f t="shared" si="30"/>
        <v>36.529680365296805</v>
      </c>
      <c r="O100" s="3">
        <f t="shared" si="31"/>
        <v>25.048735571431731</v>
      </c>
      <c r="P100" s="3">
        <f t="shared" si="32"/>
        <v>11.489524886877827</v>
      </c>
      <c r="Q100" s="3">
        <f t="shared" si="33"/>
        <v>28.96516567474815</v>
      </c>
      <c r="R100" s="3">
        <f t="shared" si="34"/>
        <v>36.076741141114852</v>
      </c>
      <c r="S100" s="3">
        <f t="shared" si="35"/>
        <v>35.623801916932905</v>
      </c>
      <c r="T100" s="26">
        <f t="shared" si="36"/>
        <v>34.345442085739705</v>
      </c>
    </row>
    <row r="101" spans="2:20">
      <c r="B101" s="24">
        <f>'Source data'!C41</f>
        <v>34</v>
      </c>
      <c r="C101" s="45">
        <f>'Source data'!L41</f>
        <v>10.398613518197573</v>
      </c>
      <c r="D101" s="45">
        <f>'Source data'!Z41</f>
        <v>15.84948343079922</v>
      </c>
      <c r="E101" s="45">
        <f>'Source data'!AN41</f>
        <v>21.276595744680851</v>
      </c>
      <c r="F101" s="45">
        <f>'Source data'!BB41</f>
        <v>16.971265164644713</v>
      </c>
      <c r="G101" s="45">
        <f>'Source data'!BP41</f>
        <v>23.297841561423649</v>
      </c>
      <c r="H101" s="45">
        <f>'Source data'!CD41</f>
        <v>12.00960768614892</v>
      </c>
      <c r="I101" s="45">
        <f>'Source data'!CR41</f>
        <v>26.515151515151516</v>
      </c>
      <c r="J101" s="45">
        <f>'Source data'!DF41</f>
        <v>30.475576662143826</v>
      </c>
      <c r="K101" s="45"/>
      <c r="L101" s="45"/>
      <c r="N101" s="3">
        <f t="shared" si="30"/>
        <v>30.475576662143826</v>
      </c>
      <c r="O101" s="3">
        <f t="shared" si="31"/>
        <v>19.599266910398786</v>
      </c>
      <c r="P101" s="3">
        <f t="shared" si="32"/>
        <v>10.398613518197573</v>
      </c>
      <c r="Q101" s="3">
        <f t="shared" si="33"/>
        <v>23.000111954481422</v>
      </c>
      <c r="R101" s="3">
        <f t="shared" si="34"/>
        <v>28.495364088647669</v>
      </c>
      <c r="S101" s="3">
        <f t="shared" si="35"/>
        <v>30.475576662143826</v>
      </c>
      <c r="T101" s="26">
        <f t="shared" si="36"/>
        <v>28.834589838108514</v>
      </c>
    </row>
    <row r="102" spans="2:20">
      <c r="B102" s="24">
        <f>'Source data'!C42</f>
        <v>35</v>
      </c>
      <c r="C102" s="45">
        <f>'Source data'!L42</f>
        <v>9.6749226006191957</v>
      </c>
      <c r="D102" s="45">
        <f>'Source data'!Z42</f>
        <v>10.11031635802469</v>
      </c>
      <c r="E102" s="45">
        <f>'Source data'!AN42</f>
        <v>27.338129496402878</v>
      </c>
      <c r="F102" s="45">
        <f>'Source data'!BB42</f>
        <v>12.074907120743033</v>
      </c>
      <c r="G102" s="45">
        <f>'Source data'!BP42</f>
        <v>15.19547227926078</v>
      </c>
      <c r="H102" s="45">
        <f>'Source data'!CD42</f>
        <v>10.006671114076051</v>
      </c>
      <c r="I102" s="45">
        <f>'Source data'!CR42</f>
        <v>23.668639053254438</v>
      </c>
      <c r="J102" s="45">
        <f>'Source data'!DF42</f>
        <v>21.948947368421052</v>
      </c>
      <c r="K102" s="45"/>
      <c r="L102" s="45"/>
      <c r="N102" s="3">
        <f t="shared" si="30"/>
        <v>27.338129496402878</v>
      </c>
      <c r="O102" s="3">
        <f t="shared" si="31"/>
        <v>16.252250673850266</v>
      </c>
      <c r="P102" s="3">
        <f t="shared" si="32"/>
        <v>9.6749226006191957</v>
      </c>
      <c r="Q102" s="3">
        <f t="shared" si="33"/>
        <v>18.541419178583848</v>
      </c>
      <c r="R102" s="3">
        <f t="shared" si="34"/>
        <v>22.808793210837745</v>
      </c>
      <c r="S102" s="3">
        <f t="shared" si="35"/>
        <v>21.948947368421052</v>
      </c>
      <c r="T102" s="26">
        <f t="shared" si="36"/>
        <v>21.868463720044474</v>
      </c>
    </row>
    <row r="103" spans="2:20">
      <c r="B103" s="24">
        <f>'Source data'!C43</f>
        <v>36</v>
      </c>
      <c r="C103" s="45">
        <f>'Source data'!L43</f>
        <v>12.329931972789115</v>
      </c>
      <c r="D103" s="45">
        <f>'Source data'!Z43</f>
        <v>14.190897226753671</v>
      </c>
      <c r="E103" s="45">
        <f>'Source data'!AN43</f>
        <v>18.786127167630056</v>
      </c>
      <c r="F103" s="45">
        <f>'Source data'!BB43</f>
        <v>14.426343537414963</v>
      </c>
      <c r="G103" s="45">
        <f>'Source data'!BP43</f>
        <v>18.582514092446448</v>
      </c>
      <c r="H103" s="45">
        <f>'Source data'!CD43</f>
        <v>19.645507551808919</v>
      </c>
      <c r="I103" s="45">
        <f>'Source data'!CR43</f>
        <v>36.119711042311664</v>
      </c>
      <c r="J103" s="45">
        <f>'Source data'!DF43</f>
        <v>33.831043956043956</v>
      </c>
      <c r="K103" s="45"/>
      <c r="L103" s="45"/>
      <c r="N103" s="3">
        <f t="shared" si="30"/>
        <v>36.119711042311664</v>
      </c>
      <c r="O103" s="3">
        <f t="shared" si="31"/>
        <v>20.989009568399851</v>
      </c>
      <c r="P103" s="3">
        <f t="shared" si="32"/>
        <v>12.329931972789115</v>
      </c>
      <c r="Q103" s="3">
        <f t="shared" si="33"/>
        <v>29.865420850054846</v>
      </c>
      <c r="R103" s="3">
        <f t="shared" si="34"/>
        <v>34.97537749917781</v>
      </c>
      <c r="S103" s="3">
        <f t="shared" si="35"/>
        <v>33.831043956043956</v>
      </c>
      <c r="T103" s="26">
        <f t="shared" si="36"/>
        <v>35.286482675621301</v>
      </c>
    </row>
    <row r="104" spans="2:20">
      <c r="B104" s="24">
        <f>'Source data'!C44</f>
        <v>37</v>
      </c>
      <c r="C104" s="45">
        <f>'Source data'!L44</f>
        <v>9.1706539074960123</v>
      </c>
      <c r="D104" s="45">
        <f>'Source data'!Z44</f>
        <v>17.231611111111114</v>
      </c>
      <c r="E104" s="45">
        <f>'Source data'!AN44</f>
        <v>22.757697456492636</v>
      </c>
      <c r="F104" s="45">
        <f>'Source data'!BB44</f>
        <v>11.35127591706539</v>
      </c>
      <c r="G104" s="45">
        <f>'Source data'!BP44</f>
        <v>15.488985655737705</v>
      </c>
      <c r="H104" s="45">
        <f>'Source data'!CD44</f>
        <v>17.454757152361942</v>
      </c>
      <c r="I104" s="45">
        <f>'Source data'!CR44</f>
        <v>23.668639053254438</v>
      </c>
      <c r="J104" s="45">
        <f>'Source data'!DF44</f>
        <v>22.557241977450129</v>
      </c>
      <c r="K104" s="45"/>
      <c r="L104" s="45"/>
      <c r="N104" s="3">
        <f t="shared" si="30"/>
        <v>23.668639053254438</v>
      </c>
      <c r="O104" s="3">
        <f t="shared" si="31"/>
        <v>17.460107778871169</v>
      </c>
      <c r="P104" s="3">
        <f t="shared" si="32"/>
        <v>9.1706539074960123</v>
      </c>
      <c r="Q104" s="3">
        <f t="shared" si="33"/>
        <v>21.226879394355503</v>
      </c>
      <c r="R104" s="3">
        <f t="shared" si="34"/>
        <v>23.112940515352285</v>
      </c>
      <c r="S104" s="3">
        <f t="shared" si="35"/>
        <v>22.557241977450129</v>
      </c>
      <c r="T104" s="26">
        <f t="shared" si="36"/>
        <v>23.573686976728823</v>
      </c>
    </row>
    <row r="105" spans="2:20">
      <c r="B105" s="24">
        <f>'Source data'!C45</f>
        <v>38</v>
      </c>
      <c r="C105" s="45">
        <f>'Source data'!L45</f>
        <v>9.433962264150944</v>
      </c>
      <c r="D105" s="45">
        <f>'Source data'!Z45</f>
        <v>11.150770416024654</v>
      </c>
      <c r="E105" s="45">
        <f>'Source data'!AN45</f>
        <v>26.113671274961597</v>
      </c>
      <c r="F105" s="45">
        <f>'Source data'!BB45</f>
        <v>14.916305031446541</v>
      </c>
      <c r="G105" s="45">
        <f>'Source data'!BP45</f>
        <v>22.139844311377246</v>
      </c>
      <c r="H105" s="45">
        <f>'Source data'!CD45</f>
        <v>22.436465048895329</v>
      </c>
      <c r="I105" s="45">
        <f>'Source data'!CR45</f>
        <v>28.723404255319149</v>
      </c>
      <c r="J105" s="45">
        <f>'Source data'!DF45</f>
        <v>32.162420382165607</v>
      </c>
      <c r="K105" s="45"/>
      <c r="L105" s="45"/>
      <c r="N105" s="3">
        <f t="shared" si="30"/>
        <v>32.162420382165607</v>
      </c>
      <c r="O105" s="3">
        <f t="shared" si="31"/>
        <v>20.884605373042632</v>
      </c>
      <c r="P105" s="3">
        <f t="shared" si="32"/>
        <v>9.433962264150944</v>
      </c>
      <c r="Q105" s="3">
        <f t="shared" si="33"/>
        <v>27.774096562126697</v>
      </c>
      <c r="R105" s="3">
        <f t="shared" si="34"/>
        <v>30.44291231874238</v>
      </c>
      <c r="S105" s="3">
        <f t="shared" si="35"/>
        <v>32.162420382165607</v>
      </c>
      <c r="T105" s="26">
        <f t="shared" si="36"/>
        <v>33.910728406488488</v>
      </c>
    </row>
    <row r="106" spans="2:20">
      <c r="B106" s="24">
        <f>'Source data'!C46</f>
        <v>39</v>
      </c>
      <c r="C106" s="45">
        <f>'Source data'!L46</f>
        <v>8.1967213114754092</v>
      </c>
      <c r="D106" s="45">
        <f>'Source data'!Z46</f>
        <v>10.843336206896552</v>
      </c>
      <c r="E106" s="45">
        <f>'Source data'!AN46</f>
        <v>26.865671641791046</v>
      </c>
      <c r="F106" s="45">
        <f>'Source data'!BB46</f>
        <v>10.693233979135618</v>
      </c>
      <c r="G106" s="45">
        <f>'Source data'!BP46</f>
        <v>14.552422502870265</v>
      </c>
      <c r="H106" s="45">
        <f>'Source data'!CD46</f>
        <v>15.503875968992247</v>
      </c>
      <c r="I106" s="45">
        <f>'Source data'!CR46</f>
        <v>50.749711649365629</v>
      </c>
      <c r="J106" s="45">
        <f>'Source data'!DF46</f>
        <v>41.795024875621891</v>
      </c>
      <c r="K106" s="45"/>
      <c r="L106" s="45"/>
      <c r="N106" s="3">
        <f t="shared" si="30"/>
        <v>50.749711649365629</v>
      </c>
      <c r="O106" s="3">
        <f t="shared" si="31"/>
        <v>22.399999767018581</v>
      </c>
      <c r="P106" s="3">
        <f t="shared" si="32"/>
        <v>8.1967213114754092</v>
      </c>
      <c r="Q106" s="3">
        <f t="shared" si="33"/>
        <v>36.016204164659918</v>
      </c>
      <c r="R106" s="3">
        <f t="shared" si="34"/>
        <v>46.272368262493757</v>
      </c>
      <c r="S106" s="3">
        <f t="shared" si="35"/>
        <v>41.795024875621891</v>
      </c>
      <c r="T106" s="26">
        <f t="shared" si="36"/>
        <v>44.069310677734393</v>
      </c>
    </row>
    <row r="107" spans="2:20">
      <c r="B107" s="24">
        <f>'Source data'!C47</f>
        <v>40</v>
      </c>
      <c r="C107" s="45">
        <f>'Source data'!L47</f>
        <v>11.923076923076923</v>
      </c>
      <c r="D107" s="45">
        <f>'Source data'!Z47</f>
        <v>16.583436055469953</v>
      </c>
      <c r="E107" s="45">
        <f>'Source data'!AN47</f>
        <v>36.986301369863014</v>
      </c>
      <c r="F107" s="45">
        <f>'Source data'!BB47</f>
        <v>17.05273076923077</v>
      </c>
      <c r="G107" s="45">
        <f>'Source data'!BP47</f>
        <v>29.220601265822786</v>
      </c>
      <c r="H107" s="45">
        <f>'Source data'!CD47</f>
        <v>15.612802498048399</v>
      </c>
      <c r="I107" s="45">
        <f>'Source data'!CR47</f>
        <v>36.599763872491145</v>
      </c>
      <c r="J107" s="45">
        <f>'Source data'!DF47</f>
        <v>24.269818529130848</v>
      </c>
      <c r="K107" s="45"/>
      <c r="L107" s="45"/>
      <c r="N107" s="3">
        <f t="shared" si="30"/>
        <v>36.986301369863014</v>
      </c>
      <c r="O107" s="3">
        <f t="shared" si="31"/>
        <v>23.53106641039173</v>
      </c>
      <c r="P107" s="3">
        <f t="shared" si="32"/>
        <v>11.923076923076923</v>
      </c>
      <c r="Q107" s="3">
        <f t="shared" si="33"/>
        <v>25.494128299890132</v>
      </c>
      <c r="R107" s="3">
        <f t="shared" si="34"/>
        <v>30.434791200810999</v>
      </c>
      <c r="S107" s="3">
        <f t="shared" si="35"/>
        <v>24.269818529130848</v>
      </c>
      <c r="T107" s="26">
        <f t="shared" si="36"/>
        <v>30.739434492997134</v>
      </c>
    </row>
    <row r="108" spans="2:20">
      <c r="B108" s="24">
        <f>'Source data'!C48</f>
        <v>41</v>
      </c>
      <c r="C108" s="45">
        <f>'Source data'!L48</f>
        <v>10.542168674698795</v>
      </c>
      <c r="D108" s="45">
        <f>'Source data'!Z48</f>
        <v>11.32525528169014</v>
      </c>
      <c r="E108" s="45">
        <f>'Source data'!AN48</f>
        <v>30.791788856304986</v>
      </c>
      <c r="F108" s="45">
        <f>'Source data'!BB48</f>
        <v>12.755504518072287</v>
      </c>
      <c r="G108" s="45">
        <f>'Source data'!BP48</f>
        <v>21.9631491416309</v>
      </c>
      <c r="H108" s="45">
        <f>'Source data'!CD48</f>
        <v>15.552099533437014</v>
      </c>
      <c r="I108" s="45">
        <f>'Source data'!CR48</f>
        <v>40.963855421686745</v>
      </c>
      <c r="J108" s="45">
        <f>'Source data'!DF48</f>
        <v>42.814182194616976</v>
      </c>
      <c r="K108" s="45"/>
      <c r="L108" s="45"/>
      <c r="N108" s="3">
        <f t="shared" ref="N108:N119" si="37">MAX(C108:I108)</f>
        <v>40.963855421686745</v>
      </c>
      <c r="O108" s="26">
        <f t="shared" ref="O108:O119" si="38">AVERAGE(C108:H108)</f>
        <v>17.154994334305687</v>
      </c>
      <c r="P108" s="26">
        <f t="shared" ref="P108:P119" si="39">MIN(C108:H108)</f>
        <v>10.542168674698795</v>
      </c>
      <c r="Q108" s="26">
        <f t="shared" ref="Q108:Q119" si="40">AVERAGE(G108:H108)</f>
        <v>18.757624337533958</v>
      </c>
      <c r="R108" s="3">
        <f t="shared" ref="R108:R119" si="41">AVERAGE(H108:I108)</f>
        <v>28.25797747756188</v>
      </c>
      <c r="S108" s="3">
        <f t="shared" ref="S108:S119" si="42">I108</f>
        <v>40.963855421686745</v>
      </c>
      <c r="T108" s="26">
        <f t="shared" ref="T108:T119" si="43">TREND(C108:I108,$C$8:$I$8,$K$8)</f>
        <v>36.786636816393184</v>
      </c>
    </row>
    <row r="109" spans="2:20">
      <c r="B109" s="24">
        <f>'Source data'!C49</f>
        <v>42</v>
      </c>
      <c r="C109" s="45">
        <f>'Source data'!L49</f>
        <v>7.6103500761035008</v>
      </c>
      <c r="D109" s="45">
        <f>'Source data'!Z49</f>
        <v>10.862912087912088</v>
      </c>
      <c r="E109" s="45">
        <f>'Source data'!AN49</f>
        <v>19.169329073482427</v>
      </c>
      <c r="F109" s="45">
        <f>'Source data'!BB49</f>
        <v>14.979680365296803</v>
      </c>
      <c r="G109" s="45">
        <f>'Source data'!BP49</f>
        <v>22.584367088607596</v>
      </c>
      <c r="H109" s="45">
        <f>'Source data'!CD49</f>
        <v>14.814814814814815</v>
      </c>
      <c r="I109" s="45">
        <f>'Source data'!CR49</f>
        <v>31.728665207877462</v>
      </c>
      <c r="J109" s="45">
        <f>'Source data'!DF49</f>
        <v>34.279332615715823</v>
      </c>
      <c r="K109" s="45"/>
      <c r="L109" s="45"/>
      <c r="N109" s="3">
        <f t="shared" si="37"/>
        <v>31.728665207877462</v>
      </c>
      <c r="O109" s="26">
        <f t="shared" si="38"/>
        <v>15.003575584369536</v>
      </c>
      <c r="P109" s="26">
        <f t="shared" si="39"/>
        <v>7.6103500761035008</v>
      </c>
      <c r="Q109" s="26">
        <f t="shared" si="40"/>
        <v>18.699590951711205</v>
      </c>
      <c r="R109" s="3">
        <f t="shared" si="41"/>
        <v>23.271740011346139</v>
      </c>
      <c r="S109" s="3">
        <f t="shared" si="42"/>
        <v>31.728665207877462</v>
      </c>
      <c r="T109" s="26">
        <f t="shared" si="43"/>
        <v>32.334622113487967</v>
      </c>
    </row>
    <row r="110" spans="2:20">
      <c r="B110" s="24">
        <f>'Source data'!C50</f>
        <v>43</v>
      </c>
      <c r="C110" s="45">
        <f>'Source data'!L50</f>
        <v>8.8000000000000007</v>
      </c>
      <c r="D110" s="45">
        <f>'Source data'!Z50</f>
        <v>14.733664546899842</v>
      </c>
      <c r="E110" s="45">
        <f>'Source data'!AN50</f>
        <v>17.783857729138166</v>
      </c>
      <c r="F110" s="45">
        <f>'Source data'!BB50</f>
        <v>10.405279999999999</v>
      </c>
      <c r="G110" s="45">
        <f>'Source data'!BP50</f>
        <v>18.717309941520465</v>
      </c>
      <c r="H110" s="45">
        <f>'Source data'!CD50</f>
        <v>16.174686615446827</v>
      </c>
      <c r="I110" s="45">
        <f>'Source data'!CR50</f>
        <v>33.047735618115055</v>
      </c>
      <c r="J110" s="45">
        <f>'Source data'!DF50</f>
        <v>28.887700534759357</v>
      </c>
      <c r="K110" s="45"/>
      <c r="L110" s="45"/>
      <c r="N110" s="3">
        <f t="shared" si="37"/>
        <v>33.047735618115055</v>
      </c>
      <c r="O110" s="26">
        <f t="shared" si="38"/>
        <v>14.435799805500883</v>
      </c>
      <c r="P110" s="26">
        <f t="shared" si="39"/>
        <v>8.8000000000000007</v>
      </c>
      <c r="Q110" s="26">
        <f t="shared" si="40"/>
        <v>17.445998278483646</v>
      </c>
      <c r="R110" s="3">
        <f t="shared" si="41"/>
        <v>24.611211116780943</v>
      </c>
      <c r="S110" s="3">
        <f t="shared" si="42"/>
        <v>33.047735618115055</v>
      </c>
      <c r="T110" s="26">
        <f t="shared" si="43"/>
        <v>30.765844779412873</v>
      </c>
    </row>
    <row r="111" spans="2:20">
      <c r="B111" s="24">
        <f>'Source data'!C51</f>
        <v>44</v>
      </c>
      <c r="C111" s="45">
        <f>'Source data'!L51</f>
        <v>10.35276073619632</v>
      </c>
      <c r="D111" s="45">
        <f>'Source data'!Z51</f>
        <v>11.863068513119535</v>
      </c>
      <c r="E111" s="45">
        <f>'Source data'!AN51</f>
        <v>30.206677265500794</v>
      </c>
      <c r="F111" s="45">
        <f>'Source data'!BB51</f>
        <v>15.636978527607361</v>
      </c>
      <c r="G111" s="45">
        <f>'Source data'!BP51</f>
        <v>26.89017772511848</v>
      </c>
      <c r="H111" s="45">
        <f>'Source data'!CD51</f>
        <v>15.226494099733536</v>
      </c>
      <c r="I111" s="45">
        <f>'Source data'!CR51</f>
        <v>25.91283863368669</v>
      </c>
      <c r="J111" s="45">
        <f>'Source data'!DF51</f>
        <v>25.259960159362549</v>
      </c>
      <c r="K111" s="45"/>
      <c r="L111" s="45"/>
      <c r="N111" s="3">
        <f t="shared" si="37"/>
        <v>30.206677265500794</v>
      </c>
      <c r="O111" s="26">
        <f t="shared" si="38"/>
        <v>18.362692811212668</v>
      </c>
      <c r="P111" s="26">
        <f t="shared" si="39"/>
        <v>10.35276073619632</v>
      </c>
      <c r="Q111" s="26">
        <f t="shared" si="40"/>
        <v>21.05833591242601</v>
      </c>
      <c r="R111" s="3">
        <f t="shared" si="41"/>
        <v>20.569666366710113</v>
      </c>
      <c r="S111" s="3">
        <f t="shared" si="42"/>
        <v>25.91283863368669</v>
      </c>
      <c r="T111" s="26">
        <f t="shared" si="43"/>
        <v>28.386032451086976</v>
      </c>
    </row>
    <row r="112" spans="2:20">
      <c r="B112" s="24">
        <f>'Source data'!C52</f>
        <v>45</v>
      </c>
      <c r="C112" s="45">
        <f>'Source data'!L52</f>
        <v>9.8039215686274517</v>
      </c>
      <c r="D112" s="45">
        <f>'Source data'!Z52</f>
        <v>18.193538622129434</v>
      </c>
      <c r="E112" s="45">
        <f>'Source data'!AN52</f>
        <v>22.813688212927758</v>
      </c>
      <c r="F112" s="45">
        <f>'Source data'!BB52</f>
        <v>20.337279411764705</v>
      </c>
      <c r="G112" s="45">
        <f>'Source data'!BP52</f>
        <v>24.187546189376445</v>
      </c>
      <c r="H112" s="45">
        <f>'Source data'!CD52</f>
        <v>29.002856077554064</v>
      </c>
      <c r="I112" s="45">
        <f>'Source data'!CR52</f>
        <v>41.622198505869797</v>
      </c>
      <c r="J112" s="45">
        <f>'Source data'!DF52</f>
        <v>46.561179087875416</v>
      </c>
      <c r="K112" s="45"/>
      <c r="L112" s="45"/>
      <c r="N112" s="3">
        <f t="shared" si="37"/>
        <v>41.622198505869797</v>
      </c>
      <c r="O112" s="26">
        <f t="shared" si="38"/>
        <v>20.723138347063308</v>
      </c>
      <c r="P112" s="26">
        <f t="shared" si="39"/>
        <v>9.8039215686274517</v>
      </c>
      <c r="Q112" s="26">
        <f t="shared" si="40"/>
        <v>26.595201133465252</v>
      </c>
      <c r="R112" s="3">
        <f t="shared" si="41"/>
        <v>35.31252729171193</v>
      </c>
      <c r="S112" s="3">
        <f t="shared" si="42"/>
        <v>41.622198505869797</v>
      </c>
      <c r="T112" s="26">
        <f t="shared" si="43"/>
        <v>44.860026173146252</v>
      </c>
    </row>
    <row r="113" spans="2:20">
      <c r="B113" s="24">
        <f>'Source data'!C53</f>
        <v>46</v>
      </c>
      <c r="C113" s="45">
        <f>'Source data'!L53</f>
        <v>10.212418300653594</v>
      </c>
      <c r="D113" s="45">
        <f>'Source data'!Z53</f>
        <v>13.31160267111853</v>
      </c>
      <c r="E113" s="45">
        <f>'Source data'!AN53</f>
        <v>24.271844660194176</v>
      </c>
      <c r="F113" s="45">
        <f>'Source data'!BB53</f>
        <v>11.367826797385622</v>
      </c>
      <c r="G113" s="45">
        <f>'Source data'!BP53</f>
        <v>17.89127990430622</v>
      </c>
      <c r="H113" s="45">
        <f>'Source data'!CD53</f>
        <v>20.26180339985218</v>
      </c>
      <c r="I113" s="45">
        <f>'Source data'!CR53</f>
        <v>23.630504833512351</v>
      </c>
      <c r="J113" s="45">
        <f>'Source data'!DF53</f>
        <v>27.901247401247403</v>
      </c>
      <c r="K113" s="45"/>
      <c r="L113" s="45"/>
      <c r="N113" s="3">
        <f t="shared" si="37"/>
        <v>24.271844660194176</v>
      </c>
      <c r="O113" s="26">
        <f t="shared" si="38"/>
        <v>16.219462622251722</v>
      </c>
      <c r="P113" s="26">
        <f t="shared" si="39"/>
        <v>10.212418300653594</v>
      </c>
      <c r="Q113" s="26">
        <f t="shared" si="40"/>
        <v>19.0765416520792</v>
      </c>
      <c r="R113" s="3">
        <f t="shared" si="41"/>
        <v>21.946154116682266</v>
      </c>
      <c r="S113" s="3">
        <f t="shared" si="42"/>
        <v>23.630504833512351</v>
      </c>
      <c r="T113" s="26">
        <f t="shared" si="43"/>
        <v>25.809271563173752</v>
      </c>
    </row>
    <row r="114" spans="2:20">
      <c r="B114" s="24">
        <f>'Source data'!C54</f>
        <v>47</v>
      </c>
      <c r="C114" s="45">
        <f>'Source data'!L54</f>
        <v>11.807817589576548</v>
      </c>
      <c r="D114" s="45">
        <f>'Source data'!Z54</f>
        <v>13.39904174573055</v>
      </c>
      <c r="E114" s="45">
        <f>'Source data'!AN54</f>
        <v>28.735632183908045</v>
      </c>
      <c r="F114" s="45">
        <f>'Source data'!BB54</f>
        <v>16.835122149837133</v>
      </c>
      <c r="G114" s="45">
        <f>'Source data'!BP54</f>
        <v>20.667444105691057</v>
      </c>
      <c r="H114" s="45">
        <f>'Source data'!CD54</f>
        <v>29.270496062992127</v>
      </c>
      <c r="I114" s="45">
        <f>'Source data'!CR54</f>
        <v>30.267753201396975</v>
      </c>
      <c r="J114" s="45">
        <f>'Source data'!DF54</f>
        <v>30.747727272727271</v>
      </c>
      <c r="K114" s="45"/>
      <c r="L114" s="45"/>
      <c r="N114" s="3">
        <f t="shared" si="37"/>
        <v>30.267753201396975</v>
      </c>
      <c r="O114" s="26">
        <f t="shared" si="38"/>
        <v>20.119258972955908</v>
      </c>
      <c r="P114" s="26">
        <f t="shared" si="39"/>
        <v>11.807817589576548</v>
      </c>
      <c r="Q114" s="26">
        <f t="shared" si="40"/>
        <v>24.968970084341592</v>
      </c>
      <c r="R114" s="3">
        <f t="shared" si="41"/>
        <v>29.769124632194551</v>
      </c>
      <c r="S114" s="3">
        <f t="shared" si="42"/>
        <v>30.267753201396975</v>
      </c>
      <c r="T114" s="26">
        <f t="shared" si="43"/>
        <v>35.685923754120267</v>
      </c>
    </row>
    <row r="115" spans="2:20">
      <c r="B115" s="24">
        <f>'Source data'!C55</f>
        <v>48</v>
      </c>
      <c r="C115" s="45">
        <f>'Source data'!L55</f>
        <v>9.1019417475728162</v>
      </c>
      <c r="D115" s="45">
        <f>'Source data'!Z55</f>
        <v>18.793713910761156</v>
      </c>
      <c r="E115" s="45">
        <f>'Source data'!AN55</f>
        <v>36.050156739811911</v>
      </c>
      <c r="F115" s="45">
        <f>'Source data'!BB55</f>
        <v>20.221480582524272</v>
      </c>
      <c r="G115" s="45">
        <f>'Source data'!BP55</f>
        <v>23.558407738095237</v>
      </c>
      <c r="H115" s="45">
        <f>'Source data'!CD55</f>
        <v>14.749262536873156</v>
      </c>
      <c r="I115" s="45">
        <f>'Source data'!CR55</f>
        <v>40.057224606580832</v>
      </c>
      <c r="J115" s="45">
        <f>'Source data'!DF55</f>
        <v>35.399572649572647</v>
      </c>
      <c r="K115" s="45"/>
      <c r="L115" s="45"/>
      <c r="N115" s="3">
        <f t="shared" si="37"/>
        <v>40.057224606580832</v>
      </c>
      <c r="O115" s="26">
        <f t="shared" si="38"/>
        <v>20.412493875939759</v>
      </c>
      <c r="P115" s="26">
        <f t="shared" si="39"/>
        <v>9.1019417475728162</v>
      </c>
      <c r="Q115" s="26">
        <f t="shared" si="40"/>
        <v>19.153835137484197</v>
      </c>
      <c r="R115" s="3">
        <f t="shared" si="41"/>
        <v>27.403243571726993</v>
      </c>
      <c r="S115" s="3">
        <f t="shared" si="42"/>
        <v>40.057224606580832</v>
      </c>
      <c r="T115" s="26">
        <f t="shared" si="43"/>
        <v>36.126954842376108</v>
      </c>
    </row>
    <row r="116" spans="2:20">
      <c r="B116" s="24">
        <f>'Source data'!C56</f>
        <v>49</v>
      </c>
      <c r="C116" s="45">
        <f>'Source data'!L56</f>
        <v>17.673048600883654</v>
      </c>
      <c r="D116" s="45">
        <f>'Source data'!Z56</f>
        <v>18.619618794326243</v>
      </c>
      <c r="E116" s="45">
        <f>'Source data'!AN56</f>
        <v>27.104136947218258</v>
      </c>
      <c r="F116" s="45">
        <f>'Source data'!BB56</f>
        <v>13.723416789396172</v>
      </c>
      <c r="G116" s="45">
        <f>'Source data'!BP56</f>
        <v>23.15210280373832</v>
      </c>
      <c r="H116" s="45">
        <f>'Source data'!CD56</f>
        <v>10.077258985555929</v>
      </c>
      <c r="I116" s="45">
        <f>'Source data'!CR56</f>
        <v>43.521266073194859</v>
      </c>
      <c r="J116" s="45">
        <f>'Source data'!DF56</f>
        <v>45.988736532810968</v>
      </c>
      <c r="K116" s="45"/>
      <c r="L116" s="45"/>
      <c r="N116" s="3">
        <f t="shared" si="37"/>
        <v>43.521266073194859</v>
      </c>
      <c r="O116" s="26">
        <f t="shared" si="38"/>
        <v>18.391597153519761</v>
      </c>
      <c r="P116" s="26">
        <f t="shared" si="39"/>
        <v>10.077258985555929</v>
      </c>
      <c r="Q116" s="26">
        <f t="shared" si="40"/>
        <v>16.614680894647122</v>
      </c>
      <c r="R116" s="3">
        <f t="shared" si="41"/>
        <v>26.799262529375394</v>
      </c>
      <c r="S116" s="3">
        <f t="shared" si="42"/>
        <v>43.521266073194859</v>
      </c>
      <c r="T116" s="26">
        <f t="shared" si="43"/>
        <v>32.072246044886469</v>
      </c>
    </row>
    <row r="117" spans="2:20">
      <c r="B117" s="24">
        <f>'Source data'!C57</f>
        <v>50</v>
      </c>
      <c r="C117" s="45">
        <f>'Source data'!L57</f>
        <v>17.452006980802793</v>
      </c>
      <c r="D117" s="45">
        <f>'Source data'!Z57</f>
        <v>16.904191616766468</v>
      </c>
      <c r="E117" s="45">
        <f>'Source data'!AN57</f>
        <v>45.356371490280779</v>
      </c>
      <c r="F117" s="45">
        <f>'Source data'!BB57</f>
        <v>26.351352530541014</v>
      </c>
      <c r="G117" s="45">
        <f>'Source data'!BP57</f>
        <v>28.443694444444446</v>
      </c>
      <c r="H117" s="45">
        <f>'Source data'!CD57</f>
        <v>32.538086373790023</v>
      </c>
      <c r="I117" s="45">
        <f>'Source data'!CR57</f>
        <v>27.964205816554809</v>
      </c>
      <c r="J117" s="45">
        <f>'Source data'!DF57</f>
        <v>27.693790149892934</v>
      </c>
      <c r="K117" s="45"/>
      <c r="L117" s="45"/>
      <c r="N117" s="3">
        <f t="shared" si="37"/>
        <v>45.356371490280779</v>
      </c>
      <c r="O117" s="26">
        <f t="shared" si="38"/>
        <v>27.840950572770918</v>
      </c>
      <c r="P117" s="26">
        <f t="shared" si="39"/>
        <v>16.904191616766468</v>
      </c>
      <c r="Q117" s="26">
        <f t="shared" si="40"/>
        <v>30.490890409117235</v>
      </c>
      <c r="R117" s="3">
        <f t="shared" si="41"/>
        <v>30.251146095172416</v>
      </c>
      <c r="S117" s="3">
        <f t="shared" si="42"/>
        <v>27.964205816554809</v>
      </c>
      <c r="T117" s="26">
        <f t="shared" si="43"/>
        <v>36.053506496073169</v>
      </c>
    </row>
    <row r="118" spans="2:20">
      <c r="B118" s="24">
        <f>'Source data'!C58</f>
        <v>51</v>
      </c>
      <c r="C118" s="45">
        <f>'Source data'!L58</f>
        <v>27.848101265822784</v>
      </c>
      <c r="D118" s="45">
        <f>'Source data'!Z58</f>
        <v>27.156567656765674</v>
      </c>
      <c r="E118" s="45">
        <f>'Source data'!AN58</f>
        <v>56.689342403628117</v>
      </c>
      <c r="F118" s="45">
        <f>'Source data'!BB58</f>
        <v>37.287126582278482</v>
      </c>
      <c r="G118" s="45">
        <f>'Source data'!BP58</f>
        <v>46.669411302982731</v>
      </c>
      <c r="H118" s="45">
        <f>'Source data'!CD58</f>
        <v>48.798418932527696</v>
      </c>
      <c r="I118" s="45">
        <f>'Source data'!CR58</f>
        <v>49.624060150375939</v>
      </c>
      <c r="J118" s="45">
        <f>'Source data'!DF58</f>
        <v>37.946765421747969</v>
      </c>
      <c r="K118" s="45"/>
      <c r="L118" s="45"/>
      <c r="N118" s="3">
        <f t="shared" si="37"/>
        <v>56.689342403628117</v>
      </c>
      <c r="O118" s="26">
        <f t="shared" si="38"/>
        <v>40.741494690667587</v>
      </c>
      <c r="P118" s="26">
        <f t="shared" si="39"/>
        <v>27.156567656765674</v>
      </c>
      <c r="Q118" s="26">
        <f t="shared" si="40"/>
        <v>47.733915117755217</v>
      </c>
      <c r="R118" s="3">
        <f t="shared" si="41"/>
        <v>49.211239541451818</v>
      </c>
      <c r="S118" s="3">
        <f t="shared" si="42"/>
        <v>49.624060150375939</v>
      </c>
      <c r="T118" s="26">
        <f t="shared" si="43"/>
        <v>59.616084060722642</v>
      </c>
    </row>
    <row r="119" spans="2:20">
      <c r="B119" s="24">
        <f>'Source data'!C59</f>
        <v>52</v>
      </c>
      <c r="C119" s="45">
        <f>'Source data'!L59</f>
        <v>50</v>
      </c>
      <c r="D119" s="45">
        <f>'Source data'!Z59</f>
        <v>115.13943775100402</v>
      </c>
      <c r="E119" s="45">
        <f>'Source data'!AN59</f>
        <v>99.365750528541227</v>
      </c>
      <c r="F119" s="45">
        <f>'Source data'!BB59</f>
        <v>53.8072962962963</v>
      </c>
      <c r="G119" s="45">
        <f>'Source data'!BP59</f>
        <v>55.634413518886682</v>
      </c>
      <c r="H119" s="45">
        <f>'Source data'!CD59</f>
        <v>57.952350289761753</v>
      </c>
      <c r="I119" s="45">
        <f>'Source data'!CR59</f>
        <v>56.390977443609025</v>
      </c>
      <c r="J119" s="45">
        <f>'Source data'!DF59</f>
        <v>25.62319174382716</v>
      </c>
      <c r="K119" s="45"/>
      <c r="L119" s="45"/>
      <c r="N119" s="3">
        <f t="shared" si="37"/>
        <v>115.13943775100402</v>
      </c>
      <c r="O119" s="26">
        <f t="shared" si="38"/>
        <v>71.983208064081666</v>
      </c>
      <c r="P119" s="26">
        <f t="shared" si="39"/>
        <v>50</v>
      </c>
      <c r="Q119" s="26">
        <f t="shared" si="40"/>
        <v>56.793381904324221</v>
      </c>
      <c r="R119" s="3">
        <f t="shared" si="41"/>
        <v>57.171663866685392</v>
      </c>
      <c r="S119" s="3">
        <f t="shared" si="42"/>
        <v>56.390977443609025</v>
      </c>
      <c r="T119" s="26">
        <f t="shared" si="43"/>
        <v>44.94635733235009</v>
      </c>
    </row>
    <row r="120" spans="2:20">
      <c r="B120" s="24"/>
      <c r="C120" s="25"/>
      <c r="D120" s="25"/>
      <c r="E120" s="25"/>
      <c r="F120" s="25"/>
      <c r="G120" s="25"/>
      <c r="H120" s="25"/>
      <c r="I120" s="25"/>
      <c r="J120" s="25"/>
      <c r="O120" s="3"/>
    </row>
    <row r="121" spans="2:20">
      <c r="B121" s="17" t="s">
        <v>5</v>
      </c>
      <c r="C121" s="27">
        <f t="shared" ref="C121:K121" si="44">AVERAGE(C68:C120)</f>
        <v>12.833376991765549</v>
      </c>
      <c r="D121" s="27">
        <f t="shared" si="44"/>
        <v>16.800297864609629</v>
      </c>
      <c r="E121" s="27">
        <f t="shared" si="44"/>
        <v>32.193011943492408</v>
      </c>
      <c r="F121" s="27">
        <f t="shared" si="44"/>
        <v>18.716886418490496</v>
      </c>
      <c r="G121" s="27">
        <f t="shared" si="44"/>
        <v>26.73751625437772</v>
      </c>
      <c r="H121" s="27">
        <f t="shared" si="44"/>
        <v>21.243378491001678</v>
      </c>
      <c r="I121" s="27">
        <f t="shared" si="44"/>
        <v>34.635633785195019</v>
      </c>
      <c r="J121" s="27">
        <f t="shared" si="44"/>
        <v>33.419213680038375</v>
      </c>
      <c r="K121" s="27">
        <f t="shared" si="44"/>
        <v>35.603977271060813</v>
      </c>
      <c r="L121" s="80"/>
      <c r="N121" s="27">
        <f t="shared" ref="N121:T121" si="45">AVERAGE(N68:N120)</f>
        <v>40.797619390171683</v>
      </c>
      <c r="O121" s="27">
        <f>AVERAGE(O68:O120)</f>
        <v>24.583933124885068</v>
      </c>
      <c r="P121" s="27">
        <f t="shared" si="45"/>
        <v>11.918308818936497</v>
      </c>
      <c r="Q121" s="27">
        <f t="shared" si="45"/>
        <v>30.911453069190394</v>
      </c>
      <c r="R121" s="27">
        <f t="shared" si="45"/>
        <v>33.919568774436648</v>
      </c>
      <c r="S121" s="27">
        <f t="shared" si="45"/>
        <v>35.98667219466212</v>
      </c>
      <c r="T121" s="27">
        <f t="shared" si="45"/>
        <v>37.312946108908747</v>
      </c>
    </row>
  </sheetData>
  <mergeCells count="2">
    <mergeCell ref="B65:T65"/>
    <mergeCell ref="B6:T6"/>
  </mergeCells>
  <pageMargins left="0.7" right="0.7" top="0.75" bottom="0.75" header="0.3" footer="0.3"/>
  <pageSetup orientation="portrait" verticalDpi="1200"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DW69"/>
  <sheetViews>
    <sheetView topLeftCell="CS43" workbookViewId="0">
      <selection activeCell="DO70" sqref="DO70"/>
    </sheetView>
  </sheetViews>
  <sheetFormatPr defaultRowHeight="12.75"/>
  <cols>
    <col min="1" max="2" width="2.83203125" style="1" customWidth="1"/>
    <col min="3" max="3" width="6.83203125" style="1" bestFit="1" customWidth="1"/>
    <col min="4" max="4" width="9.83203125" style="1" bestFit="1" customWidth="1"/>
    <col min="5" max="5" width="11.33203125" style="3" customWidth="1"/>
    <col min="6" max="6" width="11.33203125" style="1" customWidth="1"/>
    <col min="7" max="7" width="12.33203125" style="1" customWidth="1"/>
    <col min="8" max="8" width="2.83203125" style="1" customWidth="1"/>
    <col min="9" max="9" width="11.5" style="1" bestFit="1" customWidth="1"/>
    <col min="10" max="10" width="7.83203125" style="1" hidden="1" customWidth="1"/>
    <col min="11" max="11" width="2.83203125" style="1" customWidth="1"/>
    <col min="12" max="15" width="9.5" style="1" bestFit="1" customWidth="1"/>
    <col min="16" max="16" width="2.83203125" style="1" customWidth="1"/>
    <col min="17" max="17" width="6.6640625" style="1" bestFit="1" customWidth="1"/>
    <col min="18" max="18" width="10" style="1" bestFit="1" customWidth="1"/>
    <col min="19" max="20" width="11.33203125" style="1" customWidth="1"/>
    <col min="21" max="21" width="12.33203125" style="1" bestFit="1" customWidth="1"/>
    <col min="22" max="22" width="2.83203125" style="1" customWidth="1"/>
    <col min="23" max="23" width="8.83203125" style="1"/>
    <col min="24" max="24" width="0" style="1" hidden="1" customWidth="1"/>
    <col min="25" max="25" width="2.83203125" style="1" customWidth="1"/>
    <col min="26" max="29" width="8.83203125" style="1"/>
    <col min="30" max="30" width="2.83203125" style="1" customWidth="1"/>
    <col min="31" max="31" width="8.83203125" style="1"/>
    <col min="32" max="32" width="9.83203125" style="1" bestFit="1" customWidth="1"/>
    <col min="33" max="34" width="11.33203125" style="1" customWidth="1"/>
    <col min="35" max="35" width="12.33203125" style="1" customWidth="1"/>
    <col min="36" max="37" width="8.83203125" style="1"/>
    <col min="38" max="38" width="0" style="1" hidden="1" customWidth="1"/>
    <col min="39" max="41" width="8.83203125" style="1"/>
    <col min="42" max="42" width="12.33203125" style="1" customWidth="1"/>
    <col min="43" max="43" width="8.83203125" style="1"/>
    <col min="44" max="44" width="2.83203125" style="1" customWidth="1"/>
    <col min="45" max="45" width="8.83203125" style="1"/>
    <col min="46" max="46" width="9.83203125" style="1" bestFit="1" customWidth="1"/>
    <col min="47" max="48" width="11.33203125" style="1" customWidth="1"/>
    <col min="49" max="49" width="12.33203125" style="1" customWidth="1"/>
    <col min="50" max="51" width="8.83203125" style="1"/>
    <col min="52" max="52" width="0" style="1" hidden="1" customWidth="1"/>
    <col min="53" max="55" width="8.83203125" style="1"/>
    <col min="56" max="56" width="11.1640625" style="1" bestFit="1" customWidth="1"/>
    <col min="57" max="57" width="8.83203125" style="1"/>
    <col min="58" max="58" width="2.83203125" style="1" customWidth="1"/>
    <col min="59" max="59" width="8.83203125" style="1"/>
    <col min="60" max="60" width="9.83203125" style="1" bestFit="1" customWidth="1"/>
    <col min="61" max="61" width="11.6640625" style="1" customWidth="1"/>
    <col min="62" max="62" width="11.33203125" style="1" customWidth="1"/>
    <col min="63" max="63" width="12.33203125" style="1" customWidth="1"/>
    <col min="64" max="65" width="8.83203125" style="1"/>
    <col min="66" max="66" width="0" style="1" hidden="1" customWidth="1"/>
    <col min="67" max="71" width="8.83203125" style="1"/>
    <col min="72" max="72" width="2.83203125" style="1" customWidth="1"/>
    <col min="73" max="73" width="8.83203125" style="1"/>
    <col min="74" max="74" width="9.83203125" style="1" bestFit="1" customWidth="1"/>
    <col min="75" max="75" width="11.6640625" style="1" customWidth="1"/>
    <col min="76" max="76" width="11.33203125" style="1" customWidth="1"/>
    <col min="77" max="77" width="12.33203125" style="1" customWidth="1"/>
    <col min="78" max="79" width="8.83203125" style="1"/>
    <col min="80" max="80" width="0" style="1" hidden="1" customWidth="1"/>
    <col min="81" max="85" width="8.83203125" style="1"/>
    <col min="86" max="86" width="2.83203125" style="1" customWidth="1"/>
    <col min="87" max="87" width="8.83203125" style="1"/>
    <col min="88" max="88" width="9.83203125" style="1" bestFit="1" customWidth="1"/>
    <col min="89" max="89" width="11.6640625" style="1" customWidth="1"/>
    <col min="90" max="90" width="11.33203125" style="1" customWidth="1"/>
    <col min="91" max="91" width="12.33203125" style="1" customWidth="1"/>
    <col min="92" max="93" width="8.83203125" style="1"/>
    <col min="94" max="94" width="0" style="1" hidden="1" customWidth="1"/>
    <col min="95" max="99" width="8.83203125" style="1"/>
    <col min="100" max="100" width="2.83203125" style="1" customWidth="1"/>
    <col min="101" max="101" width="6.6640625" style="1" bestFit="1" customWidth="1"/>
    <col min="102" max="102" width="9.83203125" style="1" customWidth="1"/>
    <col min="103" max="103" width="12.33203125" style="1" customWidth="1"/>
    <col min="104" max="104" width="11.33203125" style="1" customWidth="1"/>
    <col min="105" max="105" width="12.33203125" style="1" customWidth="1"/>
    <col min="106" max="106" width="10" style="1" bestFit="1" customWidth="1"/>
    <col min="107" max="107" width="8.83203125" style="1"/>
    <col min="108" max="108" width="0" style="1" hidden="1" customWidth="1"/>
    <col min="109" max="113" width="9.33203125" style="1"/>
    <col min="114" max="114" width="2.83203125" style="1" customWidth="1"/>
    <col min="115" max="115" width="6.6640625" style="1" bestFit="1" customWidth="1"/>
    <col min="116" max="116" width="9.83203125" style="1" customWidth="1"/>
    <col min="117" max="117" width="12.33203125" style="1" customWidth="1"/>
    <col min="118" max="118" width="11.33203125" style="1" customWidth="1"/>
    <col min="119" max="119" width="12.33203125" style="1" customWidth="1"/>
    <col min="120" max="121" width="9.33203125" style="1"/>
    <col min="122" max="122" width="0" style="1" hidden="1" customWidth="1"/>
    <col min="123" max="16384" width="9.33203125" style="1"/>
  </cols>
  <sheetData>
    <row r="1" spans="1:127">
      <c r="A1" s="7" t="str">
        <f>Client</f>
        <v>Example Church</v>
      </c>
    </row>
    <row r="2" spans="1:127">
      <c r="A2" s="7" t="str">
        <f>FileName</f>
        <v>Budget proposal worksheet</v>
      </c>
      <c r="L2" s="3"/>
    </row>
    <row r="3" spans="1:127">
      <c r="A3" s="7" t="s">
        <v>347</v>
      </c>
    </row>
    <row r="4" spans="1:127">
      <c r="A4" s="8" t="str">
        <f>Date</f>
        <v>10/31/13</v>
      </c>
    </row>
    <row r="6" spans="1:127">
      <c r="C6" s="9"/>
      <c r="D6" s="10"/>
      <c r="E6" s="11"/>
      <c r="F6" s="114" t="s">
        <v>352</v>
      </c>
      <c r="G6" s="114"/>
      <c r="H6" s="9"/>
      <c r="I6" s="9"/>
      <c r="J6" s="9"/>
      <c r="K6" s="9"/>
      <c r="L6" s="111" t="s">
        <v>270</v>
      </c>
      <c r="M6" s="111"/>
      <c r="N6" s="111"/>
      <c r="O6" s="111"/>
      <c r="Q6" s="9"/>
      <c r="R6" s="10"/>
      <c r="S6" s="11"/>
      <c r="T6" s="114" t="s">
        <v>352</v>
      </c>
      <c r="U6" s="114"/>
      <c r="V6" s="9"/>
      <c r="W6" s="9"/>
      <c r="X6" s="9"/>
      <c r="Y6" s="9"/>
      <c r="Z6" s="111" t="s">
        <v>270</v>
      </c>
      <c r="AA6" s="111"/>
      <c r="AB6" s="111"/>
      <c r="AC6" s="111"/>
      <c r="AE6" s="9"/>
      <c r="AF6" s="10"/>
      <c r="AG6" s="11"/>
      <c r="AH6" s="114" t="s">
        <v>352</v>
      </c>
      <c r="AI6" s="114"/>
      <c r="AJ6" s="9"/>
      <c r="AK6" s="9"/>
      <c r="AL6" s="9"/>
      <c r="AM6" s="9"/>
      <c r="AN6" s="111" t="s">
        <v>270</v>
      </c>
      <c r="AO6" s="111"/>
      <c r="AP6" s="111"/>
      <c r="AQ6" s="111"/>
      <c r="AS6" s="9"/>
      <c r="AT6" s="10"/>
      <c r="AU6" s="11"/>
      <c r="AV6" s="114" t="s">
        <v>352</v>
      </c>
      <c r="AW6" s="114"/>
      <c r="AX6" s="9"/>
      <c r="AY6" s="9"/>
      <c r="AZ6" s="9"/>
      <c r="BA6" s="9"/>
      <c r="BB6" s="111" t="s">
        <v>270</v>
      </c>
      <c r="BC6" s="111"/>
      <c r="BD6" s="111"/>
      <c r="BE6" s="111"/>
      <c r="BG6" s="9"/>
      <c r="BH6" s="10"/>
      <c r="BI6" s="11"/>
      <c r="BJ6" s="114" t="s">
        <v>352</v>
      </c>
      <c r="BK6" s="114"/>
      <c r="BL6" s="9"/>
      <c r="BM6" s="9"/>
      <c r="BN6" s="9"/>
      <c r="BO6" s="9"/>
      <c r="BP6" s="111" t="s">
        <v>270</v>
      </c>
      <c r="BQ6" s="111"/>
      <c r="BR6" s="111"/>
      <c r="BS6" s="111"/>
      <c r="BU6" s="9"/>
      <c r="BV6" s="10"/>
      <c r="BW6" s="11"/>
      <c r="BX6" s="114" t="s">
        <v>352</v>
      </c>
      <c r="BY6" s="114"/>
      <c r="BZ6" s="9"/>
      <c r="CA6" s="9"/>
      <c r="CB6" s="9"/>
      <c r="CC6" s="9"/>
      <c r="CD6" s="111" t="s">
        <v>270</v>
      </c>
      <c r="CE6" s="111"/>
      <c r="CF6" s="111"/>
      <c r="CG6" s="111"/>
      <c r="CI6" s="9"/>
      <c r="CJ6" s="10"/>
      <c r="CK6" s="11"/>
      <c r="CL6" s="114" t="s">
        <v>352</v>
      </c>
      <c r="CM6" s="114"/>
      <c r="CN6" s="9"/>
      <c r="CO6" s="9"/>
      <c r="CP6" s="9"/>
      <c r="CQ6" s="9"/>
      <c r="CR6" s="111" t="s">
        <v>270</v>
      </c>
      <c r="CS6" s="111"/>
      <c r="CT6" s="111"/>
      <c r="CU6" s="111"/>
      <c r="CW6" s="9"/>
      <c r="CX6" s="10"/>
      <c r="CY6" s="11"/>
      <c r="CZ6" s="114" t="s">
        <v>352</v>
      </c>
      <c r="DA6" s="114"/>
      <c r="DB6" s="9"/>
      <c r="DC6" s="9"/>
      <c r="DD6" s="9"/>
      <c r="DE6" s="9"/>
      <c r="DF6" s="111" t="s">
        <v>270</v>
      </c>
      <c r="DG6" s="111"/>
      <c r="DH6" s="111"/>
      <c r="DI6" s="111"/>
      <c r="DK6" s="9"/>
      <c r="DL6" s="10"/>
      <c r="DM6" s="11"/>
      <c r="DN6" s="114" t="s">
        <v>352</v>
      </c>
      <c r="DO6" s="114"/>
      <c r="DP6" s="9"/>
      <c r="DQ6" s="9"/>
      <c r="DR6" s="9"/>
      <c r="DS6" s="9"/>
      <c r="DT6" s="111" t="s">
        <v>270</v>
      </c>
      <c r="DU6" s="111"/>
      <c r="DV6" s="111"/>
      <c r="DW6" s="111"/>
    </row>
    <row r="7" spans="1:127">
      <c r="C7" s="5" t="s">
        <v>0</v>
      </c>
      <c r="D7" s="12" t="s">
        <v>1</v>
      </c>
      <c r="E7" s="13" t="s">
        <v>2</v>
      </c>
      <c r="F7" s="14" t="s">
        <v>4</v>
      </c>
      <c r="G7" s="14" t="s">
        <v>353</v>
      </c>
      <c r="H7" s="9"/>
      <c r="I7" s="5" t="s">
        <v>62</v>
      </c>
      <c r="J7" s="5" t="s">
        <v>1</v>
      </c>
      <c r="K7" s="5"/>
      <c r="L7" s="5" t="s">
        <v>2</v>
      </c>
      <c r="M7" s="5" t="s">
        <v>4</v>
      </c>
      <c r="N7" s="5" t="s">
        <v>353</v>
      </c>
      <c r="O7" s="5" t="s">
        <v>5</v>
      </c>
      <c r="Q7" s="5" t="s">
        <v>0</v>
      </c>
      <c r="R7" s="12" t="s">
        <v>1</v>
      </c>
      <c r="S7" s="13" t="s">
        <v>2</v>
      </c>
      <c r="T7" s="14" t="s">
        <v>4</v>
      </c>
      <c r="U7" s="14" t="s">
        <v>353</v>
      </c>
      <c r="V7" s="9"/>
      <c r="W7" s="5" t="s">
        <v>62</v>
      </c>
      <c r="X7" s="5" t="s">
        <v>1</v>
      </c>
      <c r="Y7" s="5"/>
      <c r="Z7" s="5" t="s">
        <v>2</v>
      </c>
      <c r="AA7" s="5" t="s">
        <v>4</v>
      </c>
      <c r="AB7" s="5" t="s">
        <v>353</v>
      </c>
      <c r="AC7" s="5" t="s">
        <v>5</v>
      </c>
      <c r="AE7" s="5" t="s">
        <v>0</v>
      </c>
      <c r="AF7" s="12" t="s">
        <v>1</v>
      </c>
      <c r="AG7" s="13" t="s">
        <v>2</v>
      </c>
      <c r="AH7" s="14" t="s">
        <v>4</v>
      </c>
      <c r="AI7" s="14" t="s">
        <v>353</v>
      </c>
      <c r="AJ7" s="9"/>
      <c r="AK7" s="5" t="s">
        <v>62</v>
      </c>
      <c r="AL7" s="5" t="s">
        <v>1</v>
      </c>
      <c r="AM7" s="5"/>
      <c r="AN7" s="5" t="s">
        <v>2</v>
      </c>
      <c r="AO7" s="5" t="s">
        <v>4</v>
      </c>
      <c r="AP7" s="5" t="s">
        <v>353</v>
      </c>
      <c r="AQ7" s="5" t="s">
        <v>5</v>
      </c>
      <c r="AS7" s="5" t="s">
        <v>0</v>
      </c>
      <c r="AT7" s="12" t="s">
        <v>1</v>
      </c>
      <c r="AU7" s="13" t="s">
        <v>2</v>
      </c>
      <c r="AV7" s="14" t="s">
        <v>4</v>
      </c>
      <c r="AW7" s="14" t="s">
        <v>353</v>
      </c>
      <c r="AX7" s="9"/>
      <c r="AY7" s="5" t="s">
        <v>62</v>
      </c>
      <c r="AZ7" s="5" t="s">
        <v>1</v>
      </c>
      <c r="BA7" s="5"/>
      <c r="BB7" s="5" t="s">
        <v>2</v>
      </c>
      <c r="BC7" s="5" t="s">
        <v>4</v>
      </c>
      <c r="BD7" s="5" t="s">
        <v>353</v>
      </c>
      <c r="BE7" s="5" t="s">
        <v>5</v>
      </c>
      <c r="BG7" s="5" t="s">
        <v>0</v>
      </c>
      <c r="BH7" s="12" t="s">
        <v>1</v>
      </c>
      <c r="BI7" s="13" t="s">
        <v>2</v>
      </c>
      <c r="BJ7" s="14" t="s">
        <v>4</v>
      </c>
      <c r="BK7" s="14" t="s">
        <v>353</v>
      </c>
      <c r="BL7" s="9"/>
      <c r="BM7" s="5" t="s">
        <v>62</v>
      </c>
      <c r="BN7" s="5" t="s">
        <v>1</v>
      </c>
      <c r="BO7" s="5"/>
      <c r="BP7" s="5" t="s">
        <v>2</v>
      </c>
      <c r="BQ7" s="5" t="s">
        <v>4</v>
      </c>
      <c r="BR7" s="5" t="s">
        <v>353</v>
      </c>
      <c r="BS7" s="5" t="s">
        <v>5</v>
      </c>
      <c r="BU7" s="5" t="s">
        <v>0</v>
      </c>
      <c r="BV7" s="12" t="s">
        <v>1</v>
      </c>
      <c r="BW7" s="13" t="s">
        <v>2</v>
      </c>
      <c r="BX7" s="14" t="s">
        <v>4</v>
      </c>
      <c r="BY7" s="14" t="s">
        <v>353</v>
      </c>
      <c r="BZ7" s="9"/>
      <c r="CA7" s="5" t="s">
        <v>62</v>
      </c>
      <c r="CB7" s="5" t="s">
        <v>1</v>
      </c>
      <c r="CC7" s="5"/>
      <c r="CD7" s="5" t="s">
        <v>2</v>
      </c>
      <c r="CE7" s="5" t="s">
        <v>4</v>
      </c>
      <c r="CF7" s="5" t="s">
        <v>353</v>
      </c>
      <c r="CG7" s="5" t="s">
        <v>5</v>
      </c>
      <c r="CI7" s="5" t="s">
        <v>0</v>
      </c>
      <c r="CJ7" s="12" t="s">
        <v>1</v>
      </c>
      <c r="CK7" s="13" t="s">
        <v>2</v>
      </c>
      <c r="CL7" s="14" t="s">
        <v>4</v>
      </c>
      <c r="CM7" s="14" t="s">
        <v>353</v>
      </c>
      <c r="CN7" s="9"/>
      <c r="CO7" s="5" t="s">
        <v>62</v>
      </c>
      <c r="CP7" s="5" t="s">
        <v>1</v>
      </c>
      <c r="CQ7" s="5"/>
      <c r="CR7" s="5" t="s">
        <v>2</v>
      </c>
      <c r="CS7" s="5" t="s">
        <v>4</v>
      </c>
      <c r="CT7" s="5" t="s">
        <v>353</v>
      </c>
      <c r="CU7" s="5" t="s">
        <v>5</v>
      </c>
      <c r="CW7" s="5" t="s">
        <v>0</v>
      </c>
      <c r="CX7" s="12" t="s">
        <v>1</v>
      </c>
      <c r="CY7" s="13" t="s">
        <v>2</v>
      </c>
      <c r="CZ7" s="14" t="s">
        <v>4</v>
      </c>
      <c r="DA7" s="14" t="s">
        <v>353</v>
      </c>
      <c r="DB7" s="9"/>
      <c r="DC7" s="5" t="s">
        <v>62</v>
      </c>
      <c r="DD7" s="5" t="s">
        <v>1</v>
      </c>
      <c r="DE7" s="5"/>
      <c r="DF7" s="5" t="s">
        <v>2</v>
      </c>
      <c r="DG7" s="5" t="s">
        <v>4</v>
      </c>
      <c r="DH7" s="5" t="s">
        <v>353</v>
      </c>
      <c r="DI7" s="5" t="s">
        <v>5</v>
      </c>
      <c r="DK7" s="87" t="s">
        <v>0</v>
      </c>
      <c r="DL7" s="12" t="s">
        <v>1</v>
      </c>
      <c r="DM7" s="13" t="s">
        <v>2</v>
      </c>
      <c r="DN7" s="14" t="s">
        <v>4</v>
      </c>
      <c r="DO7" s="14" t="s">
        <v>353</v>
      </c>
      <c r="DP7" s="9"/>
      <c r="DQ7" s="87" t="s">
        <v>62</v>
      </c>
      <c r="DR7" s="87" t="s">
        <v>1</v>
      </c>
      <c r="DS7" s="87"/>
      <c r="DT7" s="87" t="s">
        <v>2</v>
      </c>
      <c r="DU7" s="87" t="s">
        <v>4</v>
      </c>
      <c r="DV7" s="87" t="s">
        <v>353</v>
      </c>
      <c r="DW7" s="87" t="s">
        <v>5</v>
      </c>
    </row>
    <row r="8" spans="1:127">
      <c r="C8" s="36">
        <v>1</v>
      </c>
      <c r="D8" s="37">
        <v>38354</v>
      </c>
      <c r="E8" s="38">
        <v>6000</v>
      </c>
      <c r="F8" s="38">
        <v>3000</v>
      </c>
      <c r="G8" s="58"/>
      <c r="H8" s="39"/>
      <c r="I8" s="58">
        <v>980</v>
      </c>
      <c r="J8" s="59" t="s">
        <v>10</v>
      </c>
      <c r="K8" s="3"/>
      <c r="L8" s="3">
        <f t="shared" ref="L8:L39" si="0">E8/$I8</f>
        <v>6.1224489795918364</v>
      </c>
      <c r="M8" s="3">
        <f>F8/$I8</f>
        <v>3.0612244897959182</v>
      </c>
      <c r="N8" s="3">
        <f t="shared" ref="N8:N39" si="1">G8/$I8</f>
        <v>0</v>
      </c>
      <c r="O8" s="3">
        <f>SUM(L8:N8)</f>
        <v>9.1836734693877542</v>
      </c>
      <c r="Q8" s="36">
        <v>1</v>
      </c>
      <c r="R8" s="37">
        <v>38718</v>
      </c>
      <c r="S8" s="38">
        <v>13614.04</v>
      </c>
      <c r="T8" s="38">
        <v>1000</v>
      </c>
      <c r="U8" s="58"/>
      <c r="V8" s="39"/>
      <c r="W8" s="58">
        <v>1156</v>
      </c>
      <c r="X8" s="59" t="s">
        <v>63</v>
      </c>
      <c r="Y8" s="3"/>
      <c r="Z8" s="3">
        <f t="shared" ref="Z8:Z39" si="2">S8/$W8</f>
        <v>11.776851211072666</v>
      </c>
      <c r="AA8" s="3">
        <f t="shared" ref="AA8:AA39" si="3">T8/$W8</f>
        <v>0.86505190311418689</v>
      </c>
      <c r="AB8" s="3">
        <f t="shared" ref="AB8:AB39" si="4">U8/$W8</f>
        <v>0</v>
      </c>
      <c r="AC8" s="3">
        <f t="shared" ref="AC8:AC59" si="5">SUM(Z8:AB8)</f>
        <v>12.641903114186853</v>
      </c>
      <c r="AD8" s="3"/>
      <c r="AE8" s="36">
        <v>1</v>
      </c>
      <c r="AF8" s="37">
        <v>39089</v>
      </c>
      <c r="AG8" s="38">
        <v>26000</v>
      </c>
      <c r="AH8" s="38">
        <v>14000</v>
      </c>
      <c r="AI8" s="58"/>
      <c r="AJ8" s="39"/>
      <c r="AK8" s="58">
        <v>858</v>
      </c>
      <c r="AL8" s="59" t="s">
        <v>114</v>
      </c>
      <c r="AM8" s="3"/>
      <c r="AN8" s="3">
        <f t="shared" ref="AN8:AN39" si="6">AG8/$AK8</f>
        <v>30.303030303030305</v>
      </c>
      <c r="AO8" s="3">
        <f t="shared" ref="AO8:AO39" si="7">AH8/$AK8</f>
        <v>16.317016317016318</v>
      </c>
      <c r="AP8" s="3">
        <f t="shared" ref="AP8:AP39" si="8">AI8/$AK8</f>
        <v>0</v>
      </c>
      <c r="AQ8" s="3">
        <f t="shared" ref="AQ8:AQ59" si="9">SUM(AN8:AP8)</f>
        <v>46.620046620046622</v>
      </c>
      <c r="AR8" s="3"/>
      <c r="AS8" s="36">
        <v>1</v>
      </c>
      <c r="AT8" s="37">
        <v>39453</v>
      </c>
      <c r="AU8" s="38">
        <f>(8137.84-65+8021.98)+(8137.84-65+8021.98)</f>
        <v>32189.64</v>
      </c>
      <c r="AV8" s="38">
        <v>4000</v>
      </c>
      <c r="AW8" s="39"/>
      <c r="AX8" s="39"/>
      <c r="AY8" s="58">
        <v>1360</v>
      </c>
      <c r="AZ8" s="59" t="s">
        <v>166</v>
      </c>
      <c r="BA8" s="3"/>
      <c r="BB8" s="3">
        <f t="shared" ref="BB8:BB39" si="10">AU8/$I8</f>
        <v>32.84657142857143</v>
      </c>
      <c r="BC8" s="3">
        <f t="shared" ref="BC8:BC39" si="11">AV8/$I8</f>
        <v>4.0816326530612246</v>
      </c>
      <c r="BD8" s="3">
        <f t="shared" ref="BD8:BD39" si="12">AW8/$I8</f>
        <v>0</v>
      </c>
      <c r="BE8" s="3">
        <f t="shared" ref="BE8:BE59" si="13">SUM(BB8:BD8)</f>
        <v>36.928204081632657</v>
      </c>
      <c r="BG8" s="36">
        <v>1</v>
      </c>
      <c r="BH8" s="37">
        <v>39817</v>
      </c>
      <c r="BI8" s="38">
        <f>14000+(8137.84-65+8021.98)</f>
        <v>30094.82</v>
      </c>
      <c r="BJ8" s="38">
        <v>2000</v>
      </c>
      <c r="BK8" s="38">
        <v>0</v>
      </c>
      <c r="BL8" s="38"/>
      <c r="BM8" s="58">
        <v>954</v>
      </c>
      <c r="BN8" s="59" t="s">
        <v>218</v>
      </c>
      <c r="BO8" s="3"/>
      <c r="BP8" s="3">
        <f t="shared" ref="BP8:BP39" si="14">BI8/$BM8</f>
        <v>31.545932914046123</v>
      </c>
      <c r="BQ8" s="3">
        <f t="shared" ref="BQ8:BQ39" si="15">BJ8/$BM8</f>
        <v>2.0964360587002098</v>
      </c>
      <c r="BR8" s="3">
        <f t="shared" ref="BR8:BR39" si="16">BK8/$BM8</f>
        <v>0</v>
      </c>
      <c r="BS8" s="3">
        <f t="shared" ref="BS8:BS59" si="17">SUM(BP8:BR8)</f>
        <v>33.642368972746333</v>
      </c>
      <c r="BU8" s="36">
        <v>1</v>
      </c>
      <c r="BV8" s="37">
        <v>40181</v>
      </c>
      <c r="BW8" s="38">
        <f>17000+((8137.84-65+8021.98)+(8137.84-65+8021.98))</f>
        <v>49189.64</v>
      </c>
      <c r="BX8" s="40">
        <v>1000</v>
      </c>
      <c r="BY8" s="40">
        <v>0</v>
      </c>
      <c r="BZ8" s="38"/>
      <c r="CA8" s="39">
        <v>1942</v>
      </c>
      <c r="CB8" s="65">
        <v>40181</v>
      </c>
      <c r="CC8" s="3"/>
      <c r="CD8" s="3">
        <f t="shared" ref="CD8:CD39" si="18">BW8/$CA8</f>
        <v>25.329371781668382</v>
      </c>
      <c r="CE8" s="3">
        <f t="shared" ref="CE8:CE39" si="19">BX8/$CA8</f>
        <v>0.51493305870236872</v>
      </c>
      <c r="CF8" s="3">
        <f t="shared" ref="CF8:CF39" si="20">BY8/$CA8</f>
        <v>0</v>
      </c>
      <c r="CG8" s="3">
        <f t="shared" ref="CG8:CG59" si="21">SUM(CD8:CF8)</f>
        <v>25.84430484037075</v>
      </c>
      <c r="CI8" s="36">
        <v>1</v>
      </c>
      <c r="CJ8" s="37">
        <v>40545</v>
      </c>
      <c r="CK8" s="40">
        <v>46000</v>
      </c>
      <c r="CL8" s="40">
        <v>0</v>
      </c>
      <c r="CM8" s="40">
        <v>6000</v>
      </c>
      <c r="CN8" s="38"/>
      <c r="CO8" s="39">
        <v>1296</v>
      </c>
      <c r="CP8" s="65">
        <v>40545</v>
      </c>
      <c r="CQ8" s="3"/>
      <c r="CR8" s="3">
        <f t="shared" ref="CR8:CR39" si="22">CK8/$CO8</f>
        <v>35.493827160493829</v>
      </c>
      <c r="CS8" s="3">
        <f t="shared" ref="CS8:CS39" si="23">CL8/$CO8</f>
        <v>0</v>
      </c>
      <c r="CT8" s="3">
        <f t="shared" ref="CT8:CT39" si="24">CM8/$CO8</f>
        <v>4.6296296296296298</v>
      </c>
      <c r="CU8" s="3">
        <f t="shared" ref="CU8:CU59" si="25">SUM(CR8:CT8)</f>
        <v>40.123456790123456</v>
      </c>
      <c r="CW8" s="36">
        <v>1</v>
      </c>
      <c r="CX8" s="37">
        <v>40909</v>
      </c>
      <c r="CY8" s="40">
        <v>34717</v>
      </c>
      <c r="CZ8" s="70">
        <v>1000</v>
      </c>
      <c r="DA8" s="70">
        <v>0</v>
      </c>
      <c r="DB8" s="70"/>
      <c r="DC8" s="71">
        <v>908</v>
      </c>
      <c r="DD8" s="71">
        <f>CX8</f>
        <v>40909</v>
      </c>
      <c r="DE8" s="72"/>
      <c r="DF8" s="3">
        <f t="shared" ref="DF8:DF39" si="26">CY8/$DC8</f>
        <v>38.234581497797357</v>
      </c>
      <c r="DG8" s="3">
        <f t="shared" ref="DG8:DG39" si="27">CZ8/$DC8</f>
        <v>1.1013215859030836</v>
      </c>
      <c r="DH8" s="3">
        <f t="shared" ref="DH8:DH39" si="28">DA8/$DC8</f>
        <v>0</v>
      </c>
      <c r="DI8" s="3">
        <f t="shared" ref="DI8:DI59" si="29">SUM(DF8:DH8)</f>
        <v>39.335903083700444</v>
      </c>
      <c r="DK8" s="36">
        <v>1</v>
      </c>
      <c r="DL8" s="37">
        <v>41280</v>
      </c>
      <c r="DM8" s="70">
        <v>70000</v>
      </c>
      <c r="DN8" s="70">
        <v>0</v>
      </c>
      <c r="DO8" s="70">
        <v>0</v>
      </c>
      <c r="DP8" s="70"/>
      <c r="DQ8" s="71">
        <v>1328</v>
      </c>
      <c r="DR8" s="71">
        <f>DL8</f>
        <v>41280</v>
      </c>
      <c r="DS8" s="72"/>
      <c r="DT8" s="3">
        <f t="shared" ref="DT8:DT37" si="30">DM8/$DQ8</f>
        <v>52.710843373493979</v>
      </c>
      <c r="DU8" s="3">
        <f t="shared" ref="DU8:DU37" si="31">DN8/$DQ8</f>
        <v>0</v>
      </c>
      <c r="DV8" s="3">
        <f t="shared" ref="DV8:DV37" si="32">DO8/$DQ8</f>
        <v>0</v>
      </c>
      <c r="DW8" s="3">
        <f t="shared" ref="DW8:DW37" si="33">SUM(DT8:DV8)</f>
        <v>52.710843373493979</v>
      </c>
    </row>
    <row r="9" spans="1:127">
      <c r="C9" s="36">
        <v>2</v>
      </c>
      <c r="D9" s="37">
        <f>D8+7</f>
        <v>38361</v>
      </c>
      <c r="E9" s="38">
        <v>24000</v>
      </c>
      <c r="F9" s="38">
        <v>3000</v>
      </c>
      <c r="G9" s="58"/>
      <c r="H9" s="39"/>
      <c r="I9" s="58">
        <v>1820</v>
      </c>
      <c r="J9" s="59" t="s">
        <v>11</v>
      </c>
      <c r="K9" s="3"/>
      <c r="L9" s="3">
        <f t="shared" si="0"/>
        <v>13.186813186813186</v>
      </c>
      <c r="M9" s="3">
        <f t="shared" ref="M9:M39" si="34">F9/$I9</f>
        <v>1.6483516483516483</v>
      </c>
      <c r="N9" s="3">
        <f t="shared" si="1"/>
        <v>0</v>
      </c>
      <c r="O9" s="3">
        <f t="shared" ref="O9:O59" si="35">SUM(L9:N9)</f>
        <v>14.835164835164834</v>
      </c>
      <c r="Q9" s="36">
        <f>Q8+1</f>
        <v>2</v>
      </c>
      <c r="R9" s="37">
        <f>R8+7</f>
        <v>38725</v>
      </c>
      <c r="S9" s="38">
        <v>22000</v>
      </c>
      <c r="T9" s="38">
        <v>2000</v>
      </c>
      <c r="U9" s="58"/>
      <c r="V9" s="39"/>
      <c r="W9" s="58">
        <v>1876</v>
      </c>
      <c r="X9" s="59" t="s">
        <v>64</v>
      </c>
      <c r="Y9" s="3"/>
      <c r="Z9" s="3">
        <f t="shared" si="2"/>
        <v>11.727078891257996</v>
      </c>
      <c r="AA9" s="3">
        <f t="shared" si="3"/>
        <v>1.0660980810234542</v>
      </c>
      <c r="AB9" s="3">
        <f t="shared" si="4"/>
        <v>0</v>
      </c>
      <c r="AC9" s="3">
        <f t="shared" si="5"/>
        <v>12.793176972281451</v>
      </c>
      <c r="AD9" s="3"/>
      <c r="AE9" s="36">
        <f>AE8+1</f>
        <v>2</v>
      </c>
      <c r="AF9" s="37">
        <f>AF8+7</f>
        <v>39096</v>
      </c>
      <c r="AG9" s="38">
        <v>26000</v>
      </c>
      <c r="AH9" s="38">
        <v>20000</v>
      </c>
      <c r="AI9" s="58"/>
      <c r="AJ9" s="39"/>
      <c r="AK9" s="58">
        <v>832</v>
      </c>
      <c r="AL9" s="59" t="s">
        <v>115</v>
      </c>
      <c r="AM9" s="3"/>
      <c r="AN9" s="3">
        <f t="shared" si="6"/>
        <v>31.25</v>
      </c>
      <c r="AO9" s="3">
        <f t="shared" si="7"/>
        <v>24.03846153846154</v>
      </c>
      <c r="AP9" s="3">
        <f t="shared" si="8"/>
        <v>0</v>
      </c>
      <c r="AQ9" s="3">
        <f t="shared" si="9"/>
        <v>55.28846153846154</v>
      </c>
      <c r="AR9" s="3"/>
      <c r="AS9" s="36">
        <f>AS8+1</f>
        <v>2</v>
      </c>
      <c r="AT9" s="37">
        <f>AT8+7</f>
        <v>39460</v>
      </c>
      <c r="AU9" s="38">
        <f>(9176.62-25+5091)+(9176.62-25+5091)</f>
        <v>28485.24</v>
      </c>
      <c r="AV9" s="38">
        <v>5000</v>
      </c>
      <c r="AW9" s="39"/>
      <c r="AX9" s="39"/>
      <c r="AY9" s="58">
        <v>1416</v>
      </c>
      <c r="AZ9" s="59" t="s">
        <v>167</v>
      </c>
      <c r="BA9" s="3"/>
      <c r="BB9" s="3">
        <f t="shared" si="10"/>
        <v>15.65123076923077</v>
      </c>
      <c r="BC9" s="3">
        <f t="shared" si="11"/>
        <v>2.7472527472527473</v>
      </c>
      <c r="BD9" s="3">
        <f t="shared" si="12"/>
        <v>0</v>
      </c>
      <c r="BE9" s="3">
        <f t="shared" si="13"/>
        <v>18.398483516483516</v>
      </c>
      <c r="BG9" s="36">
        <f>BG8+1</f>
        <v>2</v>
      </c>
      <c r="BH9" s="37">
        <f>BH8+7</f>
        <v>39824</v>
      </c>
      <c r="BI9" s="38">
        <f>16000+(9176.62-25+5091)</f>
        <v>30242.620000000003</v>
      </c>
      <c r="BJ9" s="38">
        <v>5000</v>
      </c>
      <c r="BK9" s="38">
        <v>0</v>
      </c>
      <c r="BL9" s="38"/>
      <c r="BM9" s="58">
        <v>1158</v>
      </c>
      <c r="BN9" s="59" t="s">
        <v>219</v>
      </c>
      <c r="BO9" s="3"/>
      <c r="BP9" s="3">
        <f t="shared" si="14"/>
        <v>26.11625215889465</v>
      </c>
      <c r="BQ9" s="3">
        <f t="shared" si="15"/>
        <v>4.3177892918825558</v>
      </c>
      <c r="BR9" s="3">
        <f t="shared" si="16"/>
        <v>0</v>
      </c>
      <c r="BS9" s="3">
        <f t="shared" si="17"/>
        <v>30.434041450777205</v>
      </c>
      <c r="BU9" s="36">
        <f>BU8+1</f>
        <v>2</v>
      </c>
      <c r="BV9" s="37">
        <f>BV8+7</f>
        <v>40188</v>
      </c>
      <c r="BW9" s="38">
        <v>30000</v>
      </c>
      <c r="BX9" s="40">
        <v>1000</v>
      </c>
      <c r="BY9" s="40">
        <v>0</v>
      </c>
      <c r="BZ9" s="38"/>
      <c r="CA9" s="39">
        <v>2329</v>
      </c>
      <c r="CB9" s="65">
        <v>40188</v>
      </c>
      <c r="CC9" s="3"/>
      <c r="CD9" s="3">
        <f t="shared" si="18"/>
        <v>12.881064834693001</v>
      </c>
      <c r="CE9" s="3">
        <f t="shared" si="19"/>
        <v>0.42936882782310004</v>
      </c>
      <c r="CF9" s="3">
        <f t="shared" si="20"/>
        <v>0</v>
      </c>
      <c r="CG9" s="3">
        <f t="shared" si="21"/>
        <v>13.3104336625161</v>
      </c>
      <c r="CI9" s="36">
        <f>CI8+1</f>
        <v>2</v>
      </c>
      <c r="CJ9" s="37">
        <f>CJ8+7</f>
        <v>40552</v>
      </c>
      <c r="CK9" s="40">
        <v>40000</v>
      </c>
      <c r="CL9" s="40">
        <v>5000</v>
      </c>
      <c r="CM9" s="40">
        <v>3000</v>
      </c>
      <c r="CN9" s="38"/>
      <c r="CO9" s="39">
        <v>1600</v>
      </c>
      <c r="CP9" s="65">
        <v>40552</v>
      </c>
      <c r="CQ9" s="3"/>
      <c r="CR9" s="3">
        <f t="shared" si="22"/>
        <v>25</v>
      </c>
      <c r="CS9" s="3">
        <f t="shared" si="23"/>
        <v>3.125</v>
      </c>
      <c r="CT9" s="3">
        <f t="shared" si="24"/>
        <v>1.875</v>
      </c>
      <c r="CU9" s="3">
        <f t="shared" si="25"/>
        <v>30</v>
      </c>
      <c r="CW9" s="36">
        <f>CW8+1</f>
        <v>2</v>
      </c>
      <c r="CX9" s="37">
        <f>CX8+7</f>
        <v>40916</v>
      </c>
      <c r="CY9" s="40">
        <v>43745</v>
      </c>
      <c r="CZ9" s="70">
        <v>0</v>
      </c>
      <c r="DA9" s="70">
        <v>0</v>
      </c>
      <c r="DB9" s="70"/>
      <c r="DC9" s="71">
        <v>1616</v>
      </c>
      <c r="DD9" s="71">
        <f t="shared" ref="DD9:DD61" si="36">CX9</f>
        <v>40916</v>
      </c>
      <c r="DE9" s="72"/>
      <c r="DF9" s="3">
        <f t="shared" si="26"/>
        <v>27.069925742574256</v>
      </c>
      <c r="DG9" s="3">
        <f t="shared" si="27"/>
        <v>0</v>
      </c>
      <c r="DH9" s="3">
        <f t="shared" si="28"/>
        <v>0</v>
      </c>
      <c r="DI9" s="3">
        <f t="shared" si="29"/>
        <v>27.069925742574256</v>
      </c>
      <c r="DK9" s="36">
        <f>DK8+1</f>
        <v>2</v>
      </c>
      <c r="DL9" s="37">
        <f>DL8+7</f>
        <v>41287</v>
      </c>
      <c r="DM9" s="70">
        <v>70000</v>
      </c>
      <c r="DN9" s="70">
        <v>0</v>
      </c>
      <c r="DO9" s="70">
        <v>0</v>
      </c>
      <c r="DP9" s="70"/>
      <c r="DQ9" s="71">
        <v>1482</v>
      </c>
      <c r="DR9" s="71">
        <f t="shared" ref="DR9:DR61" si="37">DL9</f>
        <v>41287</v>
      </c>
      <c r="DS9" s="72"/>
      <c r="DT9" s="3">
        <f t="shared" si="30"/>
        <v>47.233468286099864</v>
      </c>
      <c r="DU9" s="3">
        <f t="shared" si="31"/>
        <v>0</v>
      </c>
      <c r="DV9" s="3">
        <f t="shared" si="32"/>
        <v>0</v>
      </c>
      <c r="DW9" s="3">
        <f t="shared" si="33"/>
        <v>47.233468286099864</v>
      </c>
    </row>
    <row r="10" spans="1:127">
      <c r="C10" s="36">
        <v>3</v>
      </c>
      <c r="D10" s="37">
        <f t="shared" ref="D10:D59" si="38">D9+7</f>
        <v>38368</v>
      </c>
      <c r="E10" s="38">
        <v>21000</v>
      </c>
      <c r="F10" s="38">
        <v>2000</v>
      </c>
      <c r="G10" s="58"/>
      <c r="H10" s="39"/>
      <c r="I10" s="58">
        <v>1724</v>
      </c>
      <c r="J10" s="59" t="s">
        <v>12</v>
      </c>
      <c r="K10" s="3"/>
      <c r="L10" s="3">
        <f t="shared" si="0"/>
        <v>12.180974477958237</v>
      </c>
      <c r="M10" s="3">
        <f t="shared" si="34"/>
        <v>1.160092807424594</v>
      </c>
      <c r="N10" s="3">
        <f t="shared" si="1"/>
        <v>0</v>
      </c>
      <c r="O10" s="3">
        <f t="shared" si="35"/>
        <v>13.341067285382831</v>
      </c>
      <c r="Q10" s="36">
        <f t="shared" ref="Q10:Q60" si="39">Q9+1</f>
        <v>3</v>
      </c>
      <c r="R10" s="37">
        <f t="shared" ref="R10:R60" si="40">R9+7</f>
        <v>38732</v>
      </c>
      <c r="S10" s="38">
        <f>(10395.09+3018+739)+(10395.09+3018+739)</f>
        <v>28304.18</v>
      </c>
      <c r="T10" s="38">
        <v>2000</v>
      </c>
      <c r="U10" s="58"/>
      <c r="V10" s="39"/>
      <c r="W10" s="58">
        <v>1928</v>
      </c>
      <c r="X10" s="59" t="s">
        <v>12</v>
      </c>
      <c r="Y10" s="3"/>
      <c r="Z10" s="3">
        <f t="shared" si="2"/>
        <v>14.680591286307054</v>
      </c>
      <c r="AA10" s="3">
        <f t="shared" si="3"/>
        <v>1.0373443983402491</v>
      </c>
      <c r="AB10" s="3">
        <f t="shared" si="4"/>
        <v>0</v>
      </c>
      <c r="AC10" s="3">
        <f t="shared" si="5"/>
        <v>15.717935684647303</v>
      </c>
      <c r="AD10" s="3"/>
      <c r="AE10" s="36">
        <f t="shared" ref="AE10:AE59" si="41">AE9+1</f>
        <v>3</v>
      </c>
      <c r="AF10" s="37">
        <f t="shared" ref="AF10:AF59" si="42">AF9+7</f>
        <v>39103</v>
      </c>
      <c r="AG10" s="38">
        <v>28000</v>
      </c>
      <c r="AH10" s="38">
        <v>16000</v>
      </c>
      <c r="AI10" s="58"/>
      <c r="AJ10" s="39"/>
      <c r="AK10" s="58">
        <v>936</v>
      </c>
      <c r="AL10" s="59" t="s">
        <v>116</v>
      </c>
      <c r="AM10" s="3"/>
      <c r="AN10" s="3">
        <f t="shared" si="6"/>
        <v>29.914529914529915</v>
      </c>
      <c r="AO10" s="3">
        <f t="shared" si="7"/>
        <v>17.094017094017094</v>
      </c>
      <c r="AP10" s="3">
        <f t="shared" si="8"/>
        <v>0</v>
      </c>
      <c r="AQ10" s="3">
        <f t="shared" si="9"/>
        <v>47.008547008547012</v>
      </c>
      <c r="AR10" s="3"/>
      <c r="AS10" s="36">
        <f t="shared" ref="AS10:AS59" si="43">AS9+1</f>
        <v>3</v>
      </c>
      <c r="AT10" s="37">
        <f t="shared" ref="AT10:AT59" si="44">AT9+7</f>
        <v>39467</v>
      </c>
      <c r="AU10" s="38">
        <f>(9940.95-250-20+8519-100)+(9940.95-250-20+8519-100)</f>
        <v>36179.9</v>
      </c>
      <c r="AV10" s="38">
        <v>4000</v>
      </c>
      <c r="AW10" s="39"/>
      <c r="AX10" s="39"/>
      <c r="AY10" s="58">
        <v>1426</v>
      </c>
      <c r="AZ10" s="59" t="s">
        <v>168</v>
      </c>
      <c r="BA10" s="3"/>
      <c r="BB10" s="3">
        <f t="shared" si="10"/>
        <v>20.986020881670534</v>
      </c>
      <c r="BC10" s="3">
        <f t="shared" si="11"/>
        <v>2.3201856148491879</v>
      </c>
      <c r="BD10" s="3">
        <f t="shared" si="12"/>
        <v>0</v>
      </c>
      <c r="BE10" s="3">
        <f t="shared" si="13"/>
        <v>23.306206496519721</v>
      </c>
      <c r="BG10" s="36">
        <f t="shared" ref="BG10:BG59" si="45">BG9+1</f>
        <v>3</v>
      </c>
      <c r="BH10" s="37">
        <f t="shared" ref="BH10:BH59" si="46">BH9+7</f>
        <v>39831</v>
      </c>
      <c r="BI10" s="38">
        <f>16000+(9940.95-250-20+8519-100)</f>
        <v>34089.949999999997</v>
      </c>
      <c r="BJ10" s="38">
        <v>3000</v>
      </c>
      <c r="BK10" s="38">
        <v>0</v>
      </c>
      <c r="BL10" s="38"/>
      <c r="BM10" s="58">
        <v>1080</v>
      </c>
      <c r="BN10" s="59" t="s">
        <v>220</v>
      </c>
      <c r="BO10" s="3"/>
      <c r="BP10" s="3">
        <f t="shared" si="14"/>
        <v>31.564768518518516</v>
      </c>
      <c r="BQ10" s="3">
        <f t="shared" si="15"/>
        <v>2.7777777777777777</v>
      </c>
      <c r="BR10" s="3">
        <f t="shared" si="16"/>
        <v>0</v>
      </c>
      <c r="BS10" s="3">
        <f t="shared" si="17"/>
        <v>34.342546296296291</v>
      </c>
      <c r="BU10" s="36">
        <f t="shared" ref="BU10:BU59" si="47">BU9+1</f>
        <v>3</v>
      </c>
      <c r="BV10" s="37">
        <f t="shared" ref="BV10:BV59" si="48">BV9+7</f>
        <v>40195</v>
      </c>
      <c r="BW10" s="38">
        <v>30000</v>
      </c>
      <c r="BX10" s="40">
        <v>2000</v>
      </c>
      <c r="BY10" s="40">
        <v>1000</v>
      </c>
      <c r="BZ10" s="38"/>
      <c r="CA10" s="39">
        <v>2175</v>
      </c>
      <c r="CB10" s="65">
        <v>40195</v>
      </c>
      <c r="CC10" s="3"/>
      <c r="CD10" s="3">
        <f t="shared" si="18"/>
        <v>13.793103448275861</v>
      </c>
      <c r="CE10" s="3">
        <f t="shared" si="19"/>
        <v>0.91954022988505746</v>
      </c>
      <c r="CF10" s="3">
        <f t="shared" si="20"/>
        <v>0.45977011494252873</v>
      </c>
      <c r="CG10" s="3">
        <f t="shared" si="21"/>
        <v>15.172413793103448</v>
      </c>
      <c r="CI10" s="36">
        <f t="shared" ref="CI10:CI59" si="49">CI9+1</f>
        <v>3</v>
      </c>
      <c r="CJ10" s="37">
        <f t="shared" ref="CJ10:CJ59" si="50">CJ9+7</f>
        <v>40559</v>
      </c>
      <c r="CK10" s="40">
        <v>54000</v>
      </c>
      <c r="CL10" s="40">
        <v>1000</v>
      </c>
      <c r="CM10" s="40">
        <v>1000</v>
      </c>
      <c r="CN10" s="38"/>
      <c r="CO10" s="39">
        <v>1430</v>
      </c>
      <c r="CP10" s="65">
        <v>40559</v>
      </c>
      <c r="CQ10" s="3"/>
      <c r="CR10" s="3">
        <f t="shared" si="22"/>
        <v>37.76223776223776</v>
      </c>
      <c r="CS10" s="3">
        <f t="shared" si="23"/>
        <v>0.69930069930069927</v>
      </c>
      <c r="CT10" s="3">
        <f t="shared" si="24"/>
        <v>0.69930069930069927</v>
      </c>
      <c r="CU10" s="3">
        <f t="shared" si="25"/>
        <v>39.16083916083916</v>
      </c>
      <c r="CW10" s="36">
        <f t="shared" ref="CW10:CW58" si="51">CW9+1</f>
        <v>3</v>
      </c>
      <c r="CX10" s="37">
        <f t="shared" ref="CX10:CX58" si="52">CX9+7</f>
        <v>40923</v>
      </c>
      <c r="CY10" s="40">
        <v>53496</v>
      </c>
      <c r="CZ10" s="70">
        <v>0</v>
      </c>
      <c r="DA10" s="70">
        <v>0</v>
      </c>
      <c r="DB10" s="70"/>
      <c r="DC10" s="71">
        <v>1610</v>
      </c>
      <c r="DD10" s="71">
        <f t="shared" si="36"/>
        <v>40923</v>
      </c>
      <c r="DE10" s="72"/>
      <c r="DF10" s="3">
        <f t="shared" si="26"/>
        <v>33.227329192546584</v>
      </c>
      <c r="DG10" s="3">
        <f t="shared" si="27"/>
        <v>0</v>
      </c>
      <c r="DH10" s="3">
        <f t="shared" si="28"/>
        <v>0</v>
      </c>
      <c r="DI10" s="3">
        <f t="shared" si="29"/>
        <v>33.227329192546584</v>
      </c>
      <c r="DK10" s="36">
        <f t="shared" ref="DK10:DK58" si="53">DK9+1</f>
        <v>3</v>
      </c>
      <c r="DL10" s="37">
        <f t="shared" ref="DL10:DL58" si="54">DL9+7</f>
        <v>41294</v>
      </c>
      <c r="DM10" s="70">
        <v>56000</v>
      </c>
      <c r="DN10" s="70">
        <v>1000</v>
      </c>
      <c r="DO10" s="70">
        <v>0</v>
      </c>
      <c r="DP10" s="70"/>
      <c r="DQ10" s="71">
        <v>1492</v>
      </c>
      <c r="DR10" s="71">
        <f t="shared" si="37"/>
        <v>41294</v>
      </c>
      <c r="DS10" s="72"/>
      <c r="DT10" s="3">
        <f t="shared" si="30"/>
        <v>37.533512064343164</v>
      </c>
      <c r="DU10" s="3">
        <f t="shared" si="31"/>
        <v>0.67024128686327078</v>
      </c>
      <c r="DV10" s="3">
        <f t="shared" si="32"/>
        <v>0</v>
      </c>
      <c r="DW10" s="3">
        <f t="shared" si="33"/>
        <v>38.203753351206437</v>
      </c>
    </row>
    <row r="11" spans="1:127">
      <c r="C11" s="36">
        <v>4</v>
      </c>
      <c r="D11" s="37">
        <f t="shared" si="38"/>
        <v>38375</v>
      </c>
      <c r="E11" s="38">
        <v>14000</v>
      </c>
      <c r="F11" s="38">
        <v>3000</v>
      </c>
      <c r="G11" s="58"/>
      <c r="H11" s="39"/>
      <c r="I11" s="58">
        <v>1692</v>
      </c>
      <c r="J11" s="59" t="s">
        <v>13</v>
      </c>
      <c r="K11" s="3"/>
      <c r="L11" s="3">
        <f t="shared" si="0"/>
        <v>8.2742316784869985</v>
      </c>
      <c r="M11" s="3">
        <f t="shared" si="34"/>
        <v>1.7730496453900708</v>
      </c>
      <c r="N11" s="3">
        <f t="shared" si="1"/>
        <v>0</v>
      </c>
      <c r="O11" s="3">
        <f t="shared" si="35"/>
        <v>10.047281323877069</v>
      </c>
      <c r="Q11" s="36">
        <f t="shared" si="39"/>
        <v>4</v>
      </c>
      <c r="R11" s="37">
        <f t="shared" si="40"/>
        <v>38739</v>
      </c>
      <c r="S11" s="38">
        <f>(6396.45+4940.25-30)+(6396.45+4940.25-30)</f>
        <v>22613.4</v>
      </c>
      <c r="T11" s="38">
        <v>4000</v>
      </c>
      <c r="U11" s="58"/>
      <c r="V11" s="39"/>
      <c r="W11" s="58">
        <v>1728</v>
      </c>
      <c r="X11" s="59" t="s">
        <v>65</v>
      </c>
      <c r="Y11" s="3"/>
      <c r="Z11" s="3">
        <f t="shared" si="2"/>
        <v>13.086458333333335</v>
      </c>
      <c r="AA11" s="3">
        <f t="shared" si="3"/>
        <v>2.3148148148148149</v>
      </c>
      <c r="AB11" s="3">
        <f t="shared" si="4"/>
        <v>0</v>
      </c>
      <c r="AC11" s="3">
        <f t="shared" si="5"/>
        <v>15.40127314814815</v>
      </c>
      <c r="AD11" s="3"/>
      <c r="AE11" s="36">
        <f t="shared" si="41"/>
        <v>4</v>
      </c>
      <c r="AF11" s="37">
        <f t="shared" si="42"/>
        <v>39110</v>
      </c>
      <c r="AG11" s="38">
        <v>34000</v>
      </c>
      <c r="AH11" s="38">
        <v>4000</v>
      </c>
      <c r="AI11" s="58"/>
      <c r="AJ11" s="39"/>
      <c r="AK11" s="58">
        <v>1254</v>
      </c>
      <c r="AL11" s="59" t="s">
        <v>117</v>
      </c>
      <c r="AM11" s="3"/>
      <c r="AN11" s="3">
        <f t="shared" si="6"/>
        <v>27.113237639553429</v>
      </c>
      <c r="AO11" s="3">
        <f t="shared" si="7"/>
        <v>3.1897926634768741</v>
      </c>
      <c r="AP11" s="3">
        <f t="shared" si="8"/>
        <v>0</v>
      </c>
      <c r="AQ11" s="3">
        <f t="shared" si="9"/>
        <v>30.303030303030305</v>
      </c>
      <c r="AR11" s="3"/>
      <c r="AS11" s="36">
        <f t="shared" si="43"/>
        <v>4</v>
      </c>
      <c r="AT11" s="37">
        <f t="shared" si="44"/>
        <v>39474</v>
      </c>
      <c r="AU11" s="38">
        <f>(3678.1-643-340-20-75+5516.3-46+3862.35)+(3678.1-643-340-20-75+5516.3-46+3862.35)</f>
        <v>23865.5</v>
      </c>
      <c r="AV11" s="38">
        <v>12000</v>
      </c>
      <c r="AW11" s="39"/>
      <c r="AX11" s="39"/>
      <c r="AY11" s="58">
        <v>1763</v>
      </c>
      <c r="AZ11" s="59" t="s">
        <v>169</v>
      </c>
      <c r="BA11" s="3"/>
      <c r="BB11" s="3">
        <f t="shared" si="10"/>
        <v>14.104905437352246</v>
      </c>
      <c r="BC11" s="3">
        <f t="shared" si="11"/>
        <v>7.0921985815602833</v>
      </c>
      <c r="BD11" s="3">
        <f t="shared" si="12"/>
        <v>0</v>
      </c>
      <c r="BE11" s="3">
        <f t="shared" si="13"/>
        <v>21.19710401891253</v>
      </c>
      <c r="BG11" s="36">
        <f t="shared" si="45"/>
        <v>4</v>
      </c>
      <c r="BH11" s="37">
        <f t="shared" si="46"/>
        <v>39838</v>
      </c>
      <c r="BI11" s="38">
        <f>21000+(3678.1-643-340-20-75+5516.3-46+3862.35)</f>
        <v>32932.75</v>
      </c>
      <c r="BJ11" s="38">
        <v>5000</v>
      </c>
      <c r="BK11" s="38">
        <v>0</v>
      </c>
      <c r="BL11" s="38"/>
      <c r="BM11" s="58">
        <v>1412</v>
      </c>
      <c r="BN11" s="59" t="s">
        <v>221</v>
      </c>
      <c r="BO11" s="3"/>
      <c r="BP11" s="3">
        <f t="shared" si="14"/>
        <v>23.323477337110482</v>
      </c>
      <c r="BQ11" s="3">
        <f t="shared" si="15"/>
        <v>3.5410764872521248</v>
      </c>
      <c r="BR11" s="3">
        <f t="shared" si="16"/>
        <v>0</v>
      </c>
      <c r="BS11" s="3">
        <f t="shared" si="17"/>
        <v>26.864553824362606</v>
      </c>
      <c r="BU11" s="36">
        <f t="shared" si="47"/>
        <v>4</v>
      </c>
      <c r="BV11" s="37">
        <f t="shared" si="48"/>
        <v>40202</v>
      </c>
      <c r="BW11" s="38">
        <v>30000</v>
      </c>
      <c r="BX11" s="40">
        <v>2000</v>
      </c>
      <c r="BY11" s="40">
        <v>0</v>
      </c>
      <c r="BZ11" s="38"/>
      <c r="CA11" s="39">
        <v>2296</v>
      </c>
      <c r="CB11" s="65">
        <v>40202</v>
      </c>
      <c r="CC11" s="3"/>
      <c r="CD11" s="3">
        <f t="shared" si="18"/>
        <v>13.066202090592334</v>
      </c>
      <c r="CE11" s="3">
        <f t="shared" si="19"/>
        <v>0.87108013937282225</v>
      </c>
      <c r="CF11" s="3">
        <f t="shared" si="20"/>
        <v>0</v>
      </c>
      <c r="CG11" s="3">
        <f t="shared" si="21"/>
        <v>13.937282229965156</v>
      </c>
      <c r="CI11" s="36">
        <f t="shared" si="49"/>
        <v>4</v>
      </c>
      <c r="CJ11" s="37">
        <f t="shared" si="50"/>
        <v>40566</v>
      </c>
      <c r="CK11" s="40">
        <v>58000</v>
      </c>
      <c r="CL11" s="40">
        <v>0</v>
      </c>
      <c r="CM11" s="40">
        <v>3000</v>
      </c>
      <c r="CN11" s="38"/>
      <c r="CO11" s="39">
        <v>1584</v>
      </c>
      <c r="CP11" s="65">
        <v>40566</v>
      </c>
      <c r="CQ11" s="3"/>
      <c r="CR11" s="3">
        <f t="shared" si="22"/>
        <v>36.616161616161619</v>
      </c>
      <c r="CS11" s="3">
        <f t="shared" si="23"/>
        <v>0</v>
      </c>
      <c r="CT11" s="3">
        <f t="shared" si="24"/>
        <v>1.893939393939394</v>
      </c>
      <c r="CU11" s="3">
        <f t="shared" si="25"/>
        <v>38.51010101010101</v>
      </c>
      <c r="CW11" s="36">
        <f t="shared" si="51"/>
        <v>4</v>
      </c>
      <c r="CX11" s="37">
        <f t="shared" si="52"/>
        <v>40930</v>
      </c>
      <c r="CY11" s="40">
        <v>65921</v>
      </c>
      <c r="CZ11" s="70">
        <v>0</v>
      </c>
      <c r="DA11" s="70">
        <v>0</v>
      </c>
      <c r="DB11" s="70"/>
      <c r="DC11" s="71">
        <v>1664</v>
      </c>
      <c r="DD11" s="71">
        <f t="shared" si="36"/>
        <v>40930</v>
      </c>
      <c r="DE11" s="72"/>
      <c r="DF11" s="3">
        <f t="shared" si="26"/>
        <v>39.61598557692308</v>
      </c>
      <c r="DG11" s="3">
        <f t="shared" si="27"/>
        <v>0</v>
      </c>
      <c r="DH11" s="3">
        <f t="shared" si="28"/>
        <v>0</v>
      </c>
      <c r="DI11" s="3">
        <f t="shared" si="29"/>
        <v>39.61598557692308</v>
      </c>
      <c r="DK11" s="36">
        <f t="shared" si="53"/>
        <v>4</v>
      </c>
      <c r="DL11" s="37">
        <f t="shared" si="54"/>
        <v>41301</v>
      </c>
      <c r="DM11" s="70">
        <v>52000</v>
      </c>
      <c r="DN11" s="70">
        <v>1000</v>
      </c>
      <c r="DO11" s="70">
        <v>0</v>
      </c>
      <c r="DP11" s="70"/>
      <c r="DQ11" s="71">
        <v>1644</v>
      </c>
      <c r="DR11" s="71">
        <f t="shared" si="37"/>
        <v>41301</v>
      </c>
      <c r="DS11" s="72"/>
      <c r="DT11" s="3">
        <f t="shared" si="30"/>
        <v>31.630170316301705</v>
      </c>
      <c r="DU11" s="3">
        <f t="shared" si="31"/>
        <v>0.6082725060827251</v>
      </c>
      <c r="DV11" s="3">
        <f t="shared" si="32"/>
        <v>0</v>
      </c>
      <c r="DW11" s="3">
        <f t="shared" si="33"/>
        <v>32.238442822384428</v>
      </c>
    </row>
    <row r="12" spans="1:127">
      <c r="C12" s="36">
        <v>5</v>
      </c>
      <c r="D12" s="37">
        <f t="shared" si="38"/>
        <v>38382</v>
      </c>
      <c r="E12" s="38">
        <v>21000</v>
      </c>
      <c r="F12" s="38">
        <v>2000</v>
      </c>
      <c r="G12" s="58"/>
      <c r="H12" s="39"/>
      <c r="I12" s="58">
        <v>2052</v>
      </c>
      <c r="J12" s="59" t="s">
        <v>14</v>
      </c>
      <c r="K12" s="3"/>
      <c r="L12" s="3">
        <f t="shared" si="0"/>
        <v>10.23391812865497</v>
      </c>
      <c r="M12" s="3">
        <f t="shared" si="34"/>
        <v>0.97465886939571145</v>
      </c>
      <c r="N12" s="3">
        <f t="shared" si="1"/>
        <v>0</v>
      </c>
      <c r="O12" s="3">
        <f t="shared" si="35"/>
        <v>11.208576998050681</v>
      </c>
      <c r="Q12" s="36">
        <f t="shared" si="39"/>
        <v>5</v>
      </c>
      <c r="R12" s="37">
        <f t="shared" si="40"/>
        <v>38746</v>
      </c>
      <c r="S12" s="38">
        <v>26000</v>
      </c>
      <c r="T12" s="38">
        <v>2000</v>
      </c>
      <c r="U12" s="58"/>
      <c r="V12" s="39"/>
      <c r="W12" s="58">
        <v>2436</v>
      </c>
      <c r="X12" s="59" t="s">
        <v>66</v>
      </c>
      <c r="Y12" s="3"/>
      <c r="Z12" s="3">
        <f t="shared" si="2"/>
        <v>10.673234811165846</v>
      </c>
      <c r="AA12" s="3">
        <f t="shared" si="3"/>
        <v>0.82101806239737274</v>
      </c>
      <c r="AB12" s="3">
        <f t="shared" si="4"/>
        <v>0</v>
      </c>
      <c r="AC12" s="3">
        <f t="shared" si="5"/>
        <v>11.494252873563219</v>
      </c>
      <c r="AD12" s="3"/>
      <c r="AE12" s="36">
        <f t="shared" si="41"/>
        <v>5</v>
      </c>
      <c r="AF12" s="37">
        <f t="shared" si="42"/>
        <v>39117</v>
      </c>
      <c r="AG12" s="38">
        <v>38000</v>
      </c>
      <c r="AH12" s="38">
        <v>9000</v>
      </c>
      <c r="AI12" s="58"/>
      <c r="AJ12" s="39"/>
      <c r="AK12" s="58">
        <v>1132</v>
      </c>
      <c r="AL12" s="59" t="s">
        <v>118</v>
      </c>
      <c r="AM12" s="3"/>
      <c r="AN12" s="3">
        <f t="shared" si="6"/>
        <v>33.568904593639573</v>
      </c>
      <c r="AO12" s="3">
        <f t="shared" si="7"/>
        <v>7.9505300353356887</v>
      </c>
      <c r="AP12" s="3">
        <f t="shared" si="8"/>
        <v>0</v>
      </c>
      <c r="AQ12" s="3">
        <f t="shared" si="9"/>
        <v>41.519434628975262</v>
      </c>
      <c r="AR12" s="3"/>
      <c r="AS12" s="36">
        <f t="shared" si="43"/>
        <v>5</v>
      </c>
      <c r="AT12" s="37">
        <f t="shared" si="44"/>
        <v>39481</v>
      </c>
      <c r="AU12" s="38">
        <f>(6638-20+6060.67+7854-553-295)+(6638-20+6060.67+7854-553-295)</f>
        <v>39369.339999999997</v>
      </c>
      <c r="AV12" s="38">
        <v>5000</v>
      </c>
      <c r="AW12" s="39"/>
      <c r="AX12" s="39"/>
      <c r="AY12" s="58">
        <v>1791</v>
      </c>
      <c r="AZ12" s="59" t="s">
        <v>170</v>
      </c>
      <c r="BA12" s="3"/>
      <c r="BB12" s="3">
        <f t="shared" si="10"/>
        <v>19.185838206627679</v>
      </c>
      <c r="BC12" s="3">
        <f t="shared" si="11"/>
        <v>2.4366471734892787</v>
      </c>
      <c r="BD12" s="3">
        <f t="shared" si="12"/>
        <v>0</v>
      </c>
      <c r="BE12" s="3">
        <f t="shared" si="13"/>
        <v>21.622485380116956</v>
      </c>
      <c r="BG12" s="36">
        <f t="shared" si="45"/>
        <v>5</v>
      </c>
      <c r="BH12" s="37">
        <f t="shared" si="46"/>
        <v>39845</v>
      </c>
      <c r="BI12" s="38">
        <f>20000+(6638-20+6060.67+7854-553-295)</f>
        <v>39684.67</v>
      </c>
      <c r="BJ12" s="38">
        <v>5000</v>
      </c>
      <c r="BK12" s="38">
        <v>0</v>
      </c>
      <c r="BL12" s="38"/>
      <c r="BM12" s="58">
        <v>1422</v>
      </c>
      <c r="BN12" s="59" t="s">
        <v>222</v>
      </c>
      <c r="BO12" s="3"/>
      <c r="BP12" s="3">
        <f t="shared" si="14"/>
        <v>27.90764416315049</v>
      </c>
      <c r="BQ12" s="3">
        <f t="shared" si="15"/>
        <v>3.5161744022503516</v>
      </c>
      <c r="BR12" s="3">
        <f t="shared" si="16"/>
        <v>0</v>
      </c>
      <c r="BS12" s="3">
        <f t="shared" si="17"/>
        <v>31.423818565400843</v>
      </c>
      <c r="BU12" s="36">
        <f t="shared" si="47"/>
        <v>5</v>
      </c>
      <c r="BV12" s="37">
        <f t="shared" si="48"/>
        <v>40209</v>
      </c>
      <c r="BW12" s="38">
        <v>30000</v>
      </c>
      <c r="BX12" s="40">
        <v>2000</v>
      </c>
      <c r="BY12" s="40">
        <v>1000</v>
      </c>
      <c r="BZ12" s="38"/>
      <c r="CA12" s="39">
        <v>2374</v>
      </c>
      <c r="CB12" s="65">
        <v>40209</v>
      </c>
      <c r="CC12" s="3"/>
      <c r="CD12" s="3">
        <f t="shared" si="18"/>
        <v>12.636899747262005</v>
      </c>
      <c r="CE12" s="3">
        <f t="shared" si="19"/>
        <v>0.84245998315080028</v>
      </c>
      <c r="CF12" s="3">
        <f t="shared" si="20"/>
        <v>0.42122999157540014</v>
      </c>
      <c r="CG12" s="3">
        <f t="shared" si="21"/>
        <v>13.900589721988204</v>
      </c>
      <c r="CI12" s="36">
        <f t="shared" si="49"/>
        <v>5</v>
      </c>
      <c r="CJ12" s="37">
        <f t="shared" si="50"/>
        <v>40573</v>
      </c>
      <c r="CK12" s="40">
        <v>36000</v>
      </c>
      <c r="CL12" s="40">
        <v>0</v>
      </c>
      <c r="CM12" s="40">
        <v>3000</v>
      </c>
      <c r="CN12" s="38"/>
      <c r="CO12" s="39">
        <v>1632</v>
      </c>
      <c r="CP12" s="65">
        <v>40573</v>
      </c>
      <c r="CQ12" s="3"/>
      <c r="CR12" s="3">
        <f t="shared" si="22"/>
        <v>22.058823529411764</v>
      </c>
      <c r="CS12" s="3">
        <f t="shared" si="23"/>
        <v>0</v>
      </c>
      <c r="CT12" s="3">
        <f t="shared" si="24"/>
        <v>1.838235294117647</v>
      </c>
      <c r="CU12" s="3">
        <f t="shared" si="25"/>
        <v>23.897058823529413</v>
      </c>
      <c r="CW12" s="36">
        <f t="shared" si="51"/>
        <v>5</v>
      </c>
      <c r="CX12" s="37">
        <f t="shared" si="52"/>
        <v>40937</v>
      </c>
      <c r="CY12" s="40">
        <v>31713</v>
      </c>
      <c r="CZ12" s="70">
        <v>1000</v>
      </c>
      <c r="DA12" s="70">
        <v>0</v>
      </c>
      <c r="DB12" s="70"/>
      <c r="DC12" s="71">
        <v>1918</v>
      </c>
      <c r="DD12" s="71">
        <f t="shared" si="36"/>
        <v>40937</v>
      </c>
      <c r="DE12" s="72"/>
      <c r="DF12" s="3">
        <f t="shared" si="26"/>
        <v>16.534410844629821</v>
      </c>
      <c r="DG12" s="3">
        <f t="shared" si="27"/>
        <v>0.52137643378519294</v>
      </c>
      <c r="DH12" s="3">
        <f t="shared" si="28"/>
        <v>0</v>
      </c>
      <c r="DI12" s="3">
        <f t="shared" si="29"/>
        <v>17.055787278415014</v>
      </c>
      <c r="DK12" s="36">
        <f t="shared" si="53"/>
        <v>5</v>
      </c>
      <c r="DL12" s="37">
        <f t="shared" si="54"/>
        <v>41308</v>
      </c>
      <c r="DM12" s="70">
        <v>58000</v>
      </c>
      <c r="DN12" s="70">
        <v>0</v>
      </c>
      <c r="DO12" s="70">
        <v>0</v>
      </c>
      <c r="DP12" s="70"/>
      <c r="DQ12" s="71">
        <v>1848</v>
      </c>
      <c r="DR12" s="71">
        <f t="shared" si="37"/>
        <v>41308</v>
      </c>
      <c r="DS12" s="72"/>
      <c r="DT12" s="3">
        <f t="shared" si="30"/>
        <v>31.385281385281385</v>
      </c>
      <c r="DU12" s="3">
        <f t="shared" si="31"/>
        <v>0</v>
      </c>
      <c r="DV12" s="3">
        <f t="shared" si="32"/>
        <v>0</v>
      </c>
      <c r="DW12" s="3">
        <f t="shared" si="33"/>
        <v>31.385281385281385</v>
      </c>
    </row>
    <row r="13" spans="1:127">
      <c r="C13" s="36">
        <v>6</v>
      </c>
      <c r="D13" s="37">
        <f t="shared" si="38"/>
        <v>38389</v>
      </c>
      <c r="E13" s="38">
        <v>32000</v>
      </c>
      <c r="F13" s="38">
        <v>3000</v>
      </c>
      <c r="G13" s="58"/>
      <c r="H13" s="39"/>
      <c r="I13" s="58">
        <v>2248</v>
      </c>
      <c r="J13" s="59" t="s">
        <v>15</v>
      </c>
      <c r="K13" s="3"/>
      <c r="L13" s="3">
        <f t="shared" si="0"/>
        <v>14.234875444839858</v>
      </c>
      <c r="M13" s="3">
        <f t="shared" si="34"/>
        <v>1.3345195729537367</v>
      </c>
      <c r="N13" s="3">
        <f t="shared" si="1"/>
        <v>0</v>
      </c>
      <c r="O13" s="3">
        <f t="shared" si="35"/>
        <v>15.569395017793594</v>
      </c>
      <c r="Q13" s="36">
        <f t="shared" si="39"/>
        <v>6</v>
      </c>
      <c r="R13" s="37">
        <f t="shared" si="40"/>
        <v>38753</v>
      </c>
      <c r="S13" s="38">
        <f>(2153.5-10+6994.25-10-980+3202.33+350)+(2153.5-10+6994.25-10-980+3202.33+350)</f>
        <v>23400.16</v>
      </c>
      <c r="T13" s="38">
        <v>4000</v>
      </c>
      <c r="U13" s="58"/>
      <c r="V13" s="39"/>
      <c r="W13" s="58">
        <v>2524</v>
      </c>
      <c r="X13" s="59" t="s">
        <v>67</v>
      </c>
      <c r="Y13" s="3"/>
      <c r="Z13" s="3">
        <f t="shared" si="2"/>
        <v>9.2710618066561015</v>
      </c>
      <c r="AA13" s="3">
        <f t="shared" si="3"/>
        <v>1.5847860538827259</v>
      </c>
      <c r="AB13" s="3">
        <f t="shared" si="4"/>
        <v>0</v>
      </c>
      <c r="AC13" s="3">
        <f t="shared" si="5"/>
        <v>10.855847860538827</v>
      </c>
      <c r="AD13" s="3"/>
      <c r="AE13" s="36">
        <f t="shared" si="41"/>
        <v>6</v>
      </c>
      <c r="AF13" s="37">
        <f t="shared" si="42"/>
        <v>39124</v>
      </c>
      <c r="AG13" s="38">
        <v>24000</v>
      </c>
      <c r="AH13" s="38">
        <v>4000</v>
      </c>
      <c r="AI13" s="58"/>
      <c r="AJ13" s="39"/>
      <c r="AK13" s="58">
        <v>1050</v>
      </c>
      <c r="AL13" s="59" t="s">
        <v>119</v>
      </c>
      <c r="AM13" s="3"/>
      <c r="AN13" s="3">
        <f t="shared" si="6"/>
        <v>22.857142857142858</v>
      </c>
      <c r="AO13" s="3">
        <f t="shared" si="7"/>
        <v>3.8095238095238093</v>
      </c>
      <c r="AP13" s="3">
        <f t="shared" si="8"/>
        <v>0</v>
      </c>
      <c r="AQ13" s="3">
        <f t="shared" si="9"/>
        <v>26.666666666666668</v>
      </c>
      <c r="AR13" s="3"/>
      <c r="AS13" s="36">
        <f t="shared" si="43"/>
        <v>6</v>
      </c>
      <c r="AT13" s="37">
        <f t="shared" si="44"/>
        <v>39488</v>
      </c>
      <c r="AU13" s="38">
        <f>(4305.5+17061+8354.75-121-14.5)+(4305.5+17061+8354.75-121-14.5)</f>
        <v>59171.5</v>
      </c>
      <c r="AV13" s="38">
        <v>6000</v>
      </c>
      <c r="AW13" s="39"/>
      <c r="AX13" s="39"/>
      <c r="AY13" s="58">
        <v>1767</v>
      </c>
      <c r="AZ13" s="59" t="s">
        <v>171</v>
      </c>
      <c r="BA13" s="3"/>
      <c r="BB13" s="3">
        <f t="shared" si="10"/>
        <v>26.321841637010674</v>
      </c>
      <c r="BC13" s="3">
        <f t="shared" si="11"/>
        <v>2.6690391459074734</v>
      </c>
      <c r="BD13" s="3">
        <f t="shared" si="12"/>
        <v>0</v>
      </c>
      <c r="BE13" s="3">
        <f t="shared" si="13"/>
        <v>28.990880782918147</v>
      </c>
      <c r="BG13" s="36">
        <f t="shared" si="45"/>
        <v>6</v>
      </c>
      <c r="BH13" s="37">
        <f t="shared" si="46"/>
        <v>39852</v>
      </c>
      <c r="BI13" s="38">
        <f>20000+(4305.5+17061+8354.75-121-14.5)</f>
        <v>49585.75</v>
      </c>
      <c r="BJ13" s="38">
        <v>7000</v>
      </c>
      <c r="BK13" s="38">
        <v>0</v>
      </c>
      <c r="BL13" s="38"/>
      <c r="BM13" s="58">
        <v>1558</v>
      </c>
      <c r="BN13" s="59" t="s">
        <v>223</v>
      </c>
      <c r="BO13" s="3"/>
      <c r="BP13" s="3">
        <f t="shared" si="14"/>
        <v>31.826540436456995</v>
      </c>
      <c r="BQ13" s="3">
        <f t="shared" si="15"/>
        <v>4.4929396662387679</v>
      </c>
      <c r="BR13" s="3">
        <f t="shared" si="16"/>
        <v>0</v>
      </c>
      <c r="BS13" s="3">
        <f t="shared" si="17"/>
        <v>36.319480102695763</v>
      </c>
      <c r="BU13" s="36">
        <f t="shared" si="47"/>
        <v>6</v>
      </c>
      <c r="BV13" s="37">
        <f t="shared" si="48"/>
        <v>40216</v>
      </c>
      <c r="BW13" s="38">
        <v>30000</v>
      </c>
      <c r="BX13" s="40">
        <v>2000</v>
      </c>
      <c r="BY13" s="40">
        <v>1000</v>
      </c>
      <c r="BZ13" s="38"/>
      <c r="CA13" s="39">
        <v>2692</v>
      </c>
      <c r="CB13" s="65">
        <v>40216</v>
      </c>
      <c r="CC13" s="3"/>
      <c r="CD13" s="3">
        <f t="shared" si="18"/>
        <v>11.144130757800891</v>
      </c>
      <c r="CE13" s="3">
        <f t="shared" si="19"/>
        <v>0.74294205052005946</v>
      </c>
      <c r="CF13" s="3">
        <f t="shared" si="20"/>
        <v>0.37147102526002973</v>
      </c>
      <c r="CG13" s="3">
        <f t="shared" si="21"/>
        <v>12.258543833580982</v>
      </c>
      <c r="CI13" s="36">
        <f t="shared" si="49"/>
        <v>6</v>
      </c>
      <c r="CJ13" s="37">
        <f t="shared" si="50"/>
        <v>40580</v>
      </c>
      <c r="CK13" s="40">
        <v>66000</v>
      </c>
      <c r="CL13" s="40">
        <v>0</v>
      </c>
      <c r="CM13" s="40">
        <v>7000</v>
      </c>
      <c r="CN13" s="38"/>
      <c r="CO13" s="39">
        <v>1656</v>
      </c>
      <c r="CP13" s="65">
        <v>40580</v>
      </c>
      <c r="CQ13" s="3"/>
      <c r="CR13" s="3">
        <f t="shared" si="22"/>
        <v>39.855072463768117</v>
      </c>
      <c r="CS13" s="3">
        <f t="shared" si="23"/>
        <v>0</v>
      </c>
      <c r="CT13" s="3">
        <f t="shared" si="24"/>
        <v>4.2270531400966185</v>
      </c>
      <c r="CU13" s="3">
        <f t="shared" si="25"/>
        <v>44.082125603864739</v>
      </c>
      <c r="CW13" s="36">
        <f t="shared" si="51"/>
        <v>6</v>
      </c>
      <c r="CX13" s="37">
        <f t="shared" si="52"/>
        <v>40944</v>
      </c>
      <c r="CY13" s="40">
        <v>73805</v>
      </c>
      <c r="CZ13" s="70">
        <v>3000</v>
      </c>
      <c r="DA13" s="70">
        <v>0</v>
      </c>
      <c r="DB13" s="70"/>
      <c r="DC13" s="71">
        <v>2150</v>
      </c>
      <c r="DD13" s="71">
        <f t="shared" si="36"/>
        <v>40944</v>
      </c>
      <c r="DE13" s="72"/>
      <c r="DF13" s="3">
        <f t="shared" si="26"/>
        <v>34.327906976744188</v>
      </c>
      <c r="DG13" s="3">
        <f t="shared" si="27"/>
        <v>1.3953488372093024</v>
      </c>
      <c r="DH13" s="3">
        <f t="shared" si="28"/>
        <v>0</v>
      </c>
      <c r="DI13" s="3">
        <f t="shared" si="29"/>
        <v>35.723255813953493</v>
      </c>
      <c r="DK13" s="36">
        <f t="shared" si="53"/>
        <v>6</v>
      </c>
      <c r="DL13" s="37">
        <f t="shared" si="54"/>
        <v>41315</v>
      </c>
      <c r="DM13" s="70">
        <v>66000</v>
      </c>
      <c r="DN13" s="70">
        <v>1000</v>
      </c>
      <c r="DO13" s="70">
        <v>0</v>
      </c>
      <c r="DP13" s="70"/>
      <c r="DQ13" s="71">
        <v>2016</v>
      </c>
      <c r="DR13" s="71">
        <f t="shared" si="37"/>
        <v>41315</v>
      </c>
      <c r="DS13" s="72"/>
      <c r="DT13" s="3">
        <f t="shared" si="30"/>
        <v>32.738095238095241</v>
      </c>
      <c r="DU13" s="3">
        <f t="shared" si="31"/>
        <v>0.49603174603174605</v>
      </c>
      <c r="DV13" s="3">
        <f t="shared" si="32"/>
        <v>0</v>
      </c>
      <c r="DW13" s="3">
        <f t="shared" si="33"/>
        <v>33.234126984126988</v>
      </c>
    </row>
    <row r="14" spans="1:127">
      <c r="C14" s="36">
        <v>7</v>
      </c>
      <c r="D14" s="37">
        <f t="shared" si="38"/>
        <v>38396</v>
      </c>
      <c r="E14" s="38">
        <v>24000</v>
      </c>
      <c r="F14" s="38">
        <v>4000</v>
      </c>
      <c r="G14" s="58"/>
      <c r="H14" s="39"/>
      <c r="I14" s="58">
        <v>2924</v>
      </c>
      <c r="J14" s="59" t="s">
        <v>16</v>
      </c>
      <c r="K14" s="3"/>
      <c r="L14" s="3">
        <f t="shared" si="0"/>
        <v>8.207934336525307</v>
      </c>
      <c r="M14" s="3">
        <f t="shared" si="34"/>
        <v>1.3679890560875514</v>
      </c>
      <c r="N14" s="3">
        <f t="shared" si="1"/>
        <v>0</v>
      </c>
      <c r="O14" s="3">
        <f t="shared" si="35"/>
        <v>9.5759233926128591</v>
      </c>
      <c r="Q14" s="36">
        <f t="shared" si="39"/>
        <v>7</v>
      </c>
      <c r="R14" s="37">
        <f t="shared" si="40"/>
        <v>38760</v>
      </c>
      <c r="S14" s="38">
        <f>(5756.14+14086-10-90+3275.11-200+1230)+(5756.14+14086-10-90+3275.11-200+1230)</f>
        <v>48094.5</v>
      </c>
      <c r="T14" s="38">
        <v>3000</v>
      </c>
      <c r="U14" s="58"/>
      <c r="V14" s="39"/>
      <c r="W14" s="58">
        <v>2324</v>
      </c>
      <c r="X14" s="59" t="s">
        <v>68</v>
      </c>
      <c r="Y14" s="3"/>
      <c r="Z14" s="3">
        <f t="shared" si="2"/>
        <v>20.694707401032701</v>
      </c>
      <c r="AA14" s="3">
        <f t="shared" si="3"/>
        <v>1.2908777969018932</v>
      </c>
      <c r="AB14" s="3">
        <f t="shared" si="4"/>
        <v>0</v>
      </c>
      <c r="AC14" s="3">
        <f t="shared" si="5"/>
        <v>21.985585197934594</v>
      </c>
      <c r="AD14" s="3"/>
      <c r="AE14" s="36">
        <f t="shared" si="41"/>
        <v>7</v>
      </c>
      <c r="AF14" s="37">
        <f t="shared" si="42"/>
        <v>39131</v>
      </c>
      <c r="AG14" s="38">
        <v>34000</v>
      </c>
      <c r="AH14" s="38">
        <v>8000</v>
      </c>
      <c r="AI14" s="58"/>
      <c r="AJ14" s="39"/>
      <c r="AK14" s="58">
        <v>1178</v>
      </c>
      <c r="AL14" s="59" t="s">
        <v>120</v>
      </c>
      <c r="AM14" s="3"/>
      <c r="AN14" s="3">
        <f t="shared" si="6"/>
        <v>28.862478777589136</v>
      </c>
      <c r="AO14" s="3">
        <f t="shared" si="7"/>
        <v>6.7911714770797964</v>
      </c>
      <c r="AP14" s="3">
        <f t="shared" si="8"/>
        <v>0</v>
      </c>
      <c r="AQ14" s="3">
        <f t="shared" si="9"/>
        <v>35.653650254668932</v>
      </c>
      <c r="AR14" s="3"/>
      <c r="AS14" s="36">
        <f t="shared" si="43"/>
        <v>7</v>
      </c>
      <c r="AT14" s="37">
        <f t="shared" si="44"/>
        <v>39495</v>
      </c>
      <c r="AU14" s="38">
        <f>(6362.53+6663.75+6499.14)+(6362.53+6663.75+6499.14)</f>
        <v>39050.839999999997</v>
      </c>
      <c r="AV14" s="38">
        <v>9000</v>
      </c>
      <c r="AW14" s="39"/>
      <c r="AX14" s="39"/>
      <c r="AY14" s="58">
        <v>1834</v>
      </c>
      <c r="AZ14" s="59" t="s">
        <v>172</v>
      </c>
      <c r="BA14" s="3"/>
      <c r="BB14" s="3">
        <f t="shared" si="10"/>
        <v>13.355280437756496</v>
      </c>
      <c r="BC14" s="3">
        <f t="shared" si="11"/>
        <v>3.0779753761969904</v>
      </c>
      <c r="BD14" s="3">
        <f t="shared" si="12"/>
        <v>0</v>
      </c>
      <c r="BE14" s="3">
        <f t="shared" si="13"/>
        <v>16.433255813953487</v>
      </c>
      <c r="BG14" s="36">
        <f t="shared" si="45"/>
        <v>7</v>
      </c>
      <c r="BH14" s="37">
        <f t="shared" si="46"/>
        <v>39859</v>
      </c>
      <c r="BI14" s="38">
        <f>18000+(6362.53+6663.75+6499.14)</f>
        <v>37525.42</v>
      </c>
      <c r="BJ14" s="38">
        <v>10000</v>
      </c>
      <c r="BK14" s="38">
        <v>0</v>
      </c>
      <c r="BL14" s="38"/>
      <c r="BM14" s="58">
        <v>1390</v>
      </c>
      <c r="BN14" s="59" t="s">
        <v>224</v>
      </c>
      <c r="BO14" s="3"/>
      <c r="BP14" s="3">
        <f t="shared" si="14"/>
        <v>26.996705035971221</v>
      </c>
      <c r="BQ14" s="3">
        <f t="shared" si="15"/>
        <v>7.1942446043165464</v>
      </c>
      <c r="BR14" s="3">
        <f t="shared" si="16"/>
        <v>0</v>
      </c>
      <c r="BS14" s="3">
        <f t="shared" si="17"/>
        <v>34.190949640287769</v>
      </c>
      <c r="BU14" s="36">
        <f t="shared" si="47"/>
        <v>7</v>
      </c>
      <c r="BV14" s="37">
        <f t="shared" si="48"/>
        <v>40223</v>
      </c>
      <c r="BW14" s="38">
        <v>30000</v>
      </c>
      <c r="BX14" s="40">
        <v>2000</v>
      </c>
      <c r="BY14" s="40">
        <v>2000</v>
      </c>
      <c r="BZ14" s="38"/>
      <c r="CA14" s="39">
        <v>2614</v>
      </c>
      <c r="CB14" s="65">
        <v>40223</v>
      </c>
      <c r="CC14" s="3"/>
      <c r="CD14" s="3">
        <f t="shared" si="18"/>
        <v>11.476664116296863</v>
      </c>
      <c r="CE14" s="3">
        <f t="shared" si="19"/>
        <v>0.7651109410864575</v>
      </c>
      <c r="CF14" s="3">
        <f t="shared" si="20"/>
        <v>0.7651109410864575</v>
      </c>
      <c r="CG14" s="3">
        <f t="shared" si="21"/>
        <v>13.006885998469777</v>
      </c>
      <c r="CI14" s="36">
        <f t="shared" si="49"/>
        <v>7</v>
      </c>
      <c r="CJ14" s="37">
        <f t="shared" si="50"/>
        <v>40587</v>
      </c>
      <c r="CK14" s="40">
        <v>46000</v>
      </c>
      <c r="CL14" s="40">
        <v>1000</v>
      </c>
      <c r="CM14" s="40">
        <v>4000</v>
      </c>
      <c r="CN14" s="38"/>
      <c r="CO14" s="39">
        <v>1724</v>
      </c>
      <c r="CP14" s="65">
        <v>40587</v>
      </c>
      <c r="CQ14" s="3"/>
      <c r="CR14" s="3">
        <f t="shared" si="22"/>
        <v>26.682134570765662</v>
      </c>
      <c r="CS14" s="3">
        <f t="shared" si="23"/>
        <v>0.58004640371229699</v>
      </c>
      <c r="CT14" s="3">
        <f t="shared" si="24"/>
        <v>2.3201856148491879</v>
      </c>
      <c r="CU14" s="3">
        <f t="shared" si="25"/>
        <v>29.582366589327147</v>
      </c>
      <c r="CW14" s="36">
        <f t="shared" si="51"/>
        <v>7</v>
      </c>
      <c r="CX14" s="37">
        <f t="shared" si="52"/>
        <v>40951</v>
      </c>
      <c r="CY14" s="40">
        <v>52894</v>
      </c>
      <c r="CZ14" s="70">
        <v>2000</v>
      </c>
      <c r="DA14" s="70">
        <v>0</v>
      </c>
      <c r="DB14" s="70"/>
      <c r="DC14" s="71">
        <v>1924</v>
      </c>
      <c r="DD14" s="71">
        <f t="shared" si="36"/>
        <v>40951</v>
      </c>
      <c r="DE14" s="72"/>
      <c r="DF14" s="3">
        <f t="shared" si="26"/>
        <v>27.491683991683992</v>
      </c>
      <c r="DG14" s="3">
        <f t="shared" si="27"/>
        <v>1.0395010395010396</v>
      </c>
      <c r="DH14" s="3">
        <f t="shared" si="28"/>
        <v>0</v>
      </c>
      <c r="DI14" s="3">
        <f t="shared" si="29"/>
        <v>28.531185031185032</v>
      </c>
      <c r="DK14" s="36">
        <f t="shared" si="53"/>
        <v>7</v>
      </c>
      <c r="DL14" s="37">
        <f t="shared" si="54"/>
        <v>41322</v>
      </c>
      <c r="DM14" s="70">
        <v>74000</v>
      </c>
      <c r="DN14" s="70">
        <v>1000</v>
      </c>
      <c r="DO14" s="70">
        <v>0</v>
      </c>
      <c r="DP14" s="70"/>
      <c r="DQ14" s="71">
        <v>1984</v>
      </c>
      <c r="DR14" s="71">
        <f t="shared" si="37"/>
        <v>41322</v>
      </c>
      <c r="DS14" s="72"/>
      <c r="DT14" s="3">
        <f t="shared" si="30"/>
        <v>37.298387096774192</v>
      </c>
      <c r="DU14" s="3">
        <f t="shared" si="31"/>
        <v>0.50403225806451613</v>
      </c>
      <c r="DV14" s="3">
        <f t="shared" si="32"/>
        <v>0</v>
      </c>
      <c r="DW14" s="3">
        <f t="shared" si="33"/>
        <v>37.802419354838712</v>
      </c>
    </row>
    <row r="15" spans="1:127">
      <c r="C15" s="36">
        <v>8</v>
      </c>
      <c r="D15" s="37">
        <f t="shared" si="38"/>
        <v>38403</v>
      </c>
      <c r="E15" s="38">
        <v>25000</v>
      </c>
      <c r="F15" s="38">
        <v>3000</v>
      </c>
      <c r="G15" s="58"/>
      <c r="H15" s="39"/>
      <c r="I15" s="58">
        <v>2296</v>
      </c>
      <c r="J15" s="59" t="s">
        <v>17</v>
      </c>
      <c r="K15" s="3"/>
      <c r="L15" s="3">
        <f t="shared" si="0"/>
        <v>10.888501742160278</v>
      </c>
      <c r="M15" s="3">
        <f t="shared" si="34"/>
        <v>1.3066202090592334</v>
      </c>
      <c r="N15" s="3">
        <f t="shared" si="1"/>
        <v>0</v>
      </c>
      <c r="O15" s="3">
        <f t="shared" si="35"/>
        <v>12.195121951219511</v>
      </c>
      <c r="Q15" s="36">
        <f t="shared" si="39"/>
        <v>8</v>
      </c>
      <c r="R15" s="37">
        <f t="shared" si="40"/>
        <v>38767</v>
      </c>
      <c r="S15" s="38">
        <v>33000</v>
      </c>
      <c r="T15" s="38">
        <v>2000</v>
      </c>
      <c r="U15" s="58"/>
      <c r="V15" s="39"/>
      <c r="W15" s="58">
        <v>2556</v>
      </c>
      <c r="X15" s="59" t="s">
        <v>69</v>
      </c>
      <c r="Y15" s="3"/>
      <c r="Z15" s="3">
        <f t="shared" si="2"/>
        <v>12.910798122065728</v>
      </c>
      <c r="AA15" s="3">
        <f t="shared" si="3"/>
        <v>0.78247261345852892</v>
      </c>
      <c r="AB15" s="3">
        <f t="shared" si="4"/>
        <v>0</v>
      </c>
      <c r="AC15" s="3">
        <f t="shared" si="5"/>
        <v>13.693270735524257</v>
      </c>
      <c r="AD15" s="3"/>
      <c r="AE15" s="36">
        <f t="shared" si="41"/>
        <v>8</v>
      </c>
      <c r="AF15" s="37">
        <f t="shared" si="42"/>
        <v>39138</v>
      </c>
      <c r="AG15" s="38">
        <v>24000</v>
      </c>
      <c r="AH15" s="38">
        <v>7000</v>
      </c>
      <c r="AI15" s="58"/>
      <c r="AJ15" s="39"/>
      <c r="AK15" s="58">
        <v>1168</v>
      </c>
      <c r="AL15" s="59" t="s">
        <v>121</v>
      </c>
      <c r="AM15" s="3"/>
      <c r="AN15" s="3">
        <f t="shared" si="6"/>
        <v>20.547945205479451</v>
      </c>
      <c r="AO15" s="3">
        <f t="shared" si="7"/>
        <v>5.993150684931507</v>
      </c>
      <c r="AP15" s="3">
        <f t="shared" si="8"/>
        <v>0</v>
      </c>
      <c r="AQ15" s="3">
        <f t="shared" si="9"/>
        <v>26.541095890410958</v>
      </c>
      <c r="AR15" s="3"/>
      <c r="AS15" s="36">
        <f t="shared" si="43"/>
        <v>8</v>
      </c>
      <c r="AT15" s="37">
        <f t="shared" si="44"/>
        <v>39502</v>
      </c>
      <c r="AU15" s="38">
        <f>(4248.87-140-50+2601+8376.08-245)+(4248.87-140-50+2601+8376.08-245)</f>
        <v>29581.9</v>
      </c>
      <c r="AV15" s="38">
        <v>8000</v>
      </c>
      <c r="AW15" s="39"/>
      <c r="AX15" s="39"/>
      <c r="AY15" s="58">
        <v>1857</v>
      </c>
      <c r="AZ15" s="59" t="s">
        <v>173</v>
      </c>
      <c r="BA15" s="3"/>
      <c r="BB15" s="3">
        <f t="shared" si="10"/>
        <v>12.884102787456447</v>
      </c>
      <c r="BC15" s="3">
        <f t="shared" si="11"/>
        <v>3.484320557491289</v>
      </c>
      <c r="BD15" s="3">
        <f t="shared" si="12"/>
        <v>0</v>
      </c>
      <c r="BE15" s="3">
        <f t="shared" si="13"/>
        <v>16.368423344947736</v>
      </c>
      <c r="BG15" s="36">
        <f t="shared" si="45"/>
        <v>8</v>
      </c>
      <c r="BH15" s="37">
        <f t="shared" si="46"/>
        <v>39866</v>
      </c>
      <c r="BI15" s="38">
        <f>20000+(4248.87-140-50+2601+8376.08-245)</f>
        <v>34790.949999999997</v>
      </c>
      <c r="BJ15" s="38">
        <v>3000</v>
      </c>
      <c r="BK15" s="38">
        <v>0</v>
      </c>
      <c r="BL15" s="38"/>
      <c r="BM15" s="58">
        <v>1462</v>
      </c>
      <c r="BN15" s="59" t="s">
        <v>225</v>
      </c>
      <c r="BO15" s="3"/>
      <c r="BP15" s="3">
        <f t="shared" si="14"/>
        <v>23.796819425444596</v>
      </c>
      <c r="BQ15" s="3">
        <f t="shared" si="15"/>
        <v>2.0519835841313268</v>
      </c>
      <c r="BR15" s="3">
        <f t="shared" si="16"/>
        <v>0</v>
      </c>
      <c r="BS15" s="3">
        <f t="shared" si="17"/>
        <v>25.848803009575924</v>
      </c>
      <c r="BU15" s="36">
        <f t="shared" si="47"/>
        <v>8</v>
      </c>
      <c r="BV15" s="37">
        <f t="shared" si="48"/>
        <v>40230</v>
      </c>
      <c r="BW15" s="38">
        <v>30000</v>
      </c>
      <c r="BX15" s="40">
        <v>2000</v>
      </c>
      <c r="BY15" s="40">
        <v>0</v>
      </c>
      <c r="BZ15" s="38"/>
      <c r="CA15" s="39">
        <v>2642</v>
      </c>
      <c r="CB15" s="65">
        <v>40230</v>
      </c>
      <c r="CC15" s="3"/>
      <c r="CD15" s="3">
        <f t="shared" si="18"/>
        <v>11.355034065102195</v>
      </c>
      <c r="CE15" s="3">
        <f t="shared" si="19"/>
        <v>0.75700227100681305</v>
      </c>
      <c r="CF15" s="3">
        <f t="shared" si="20"/>
        <v>0</v>
      </c>
      <c r="CG15" s="3">
        <f t="shared" si="21"/>
        <v>12.112036336109009</v>
      </c>
      <c r="CI15" s="36">
        <f t="shared" si="49"/>
        <v>8</v>
      </c>
      <c r="CJ15" s="37">
        <f t="shared" si="50"/>
        <v>40594</v>
      </c>
      <c r="CK15" s="40">
        <v>58000</v>
      </c>
      <c r="CL15" s="40">
        <v>0</v>
      </c>
      <c r="CM15" s="40">
        <v>4000</v>
      </c>
      <c r="CN15" s="38"/>
      <c r="CO15" s="39">
        <v>1706</v>
      </c>
      <c r="CP15" s="65">
        <v>40594</v>
      </c>
      <c r="CQ15" s="3"/>
      <c r="CR15" s="3">
        <f t="shared" si="22"/>
        <v>33.997655334114889</v>
      </c>
      <c r="CS15" s="3">
        <f t="shared" si="23"/>
        <v>0</v>
      </c>
      <c r="CT15" s="3">
        <f t="shared" si="24"/>
        <v>2.3446658851113718</v>
      </c>
      <c r="CU15" s="3">
        <f t="shared" si="25"/>
        <v>36.342321219226264</v>
      </c>
      <c r="CW15" s="36">
        <f t="shared" si="51"/>
        <v>8</v>
      </c>
      <c r="CX15" s="37">
        <f t="shared" si="52"/>
        <v>40958</v>
      </c>
      <c r="CY15" s="40">
        <v>62024</v>
      </c>
      <c r="CZ15" s="70">
        <v>1000</v>
      </c>
      <c r="DA15" s="70">
        <v>0</v>
      </c>
      <c r="DB15" s="70"/>
      <c r="DC15" s="71">
        <v>1546</v>
      </c>
      <c r="DD15" s="71">
        <f t="shared" si="36"/>
        <v>40958</v>
      </c>
      <c r="DE15" s="72"/>
      <c r="DF15" s="3">
        <f t="shared" si="26"/>
        <v>40.119016817593788</v>
      </c>
      <c r="DG15" s="3">
        <f t="shared" si="27"/>
        <v>0.64683053040103489</v>
      </c>
      <c r="DH15" s="3">
        <f t="shared" si="28"/>
        <v>0</v>
      </c>
      <c r="DI15" s="3">
        <f t="shared" si="29"/>
        <v>40.765847347994821</v>
      </c>
      <c r="DK15" s="36">
        <f t="shared" si="53"/>
        <v>8</v>
      </c>
      <c r="DL15" s="37">
        <f t="shared" si="54"/>
        <v>41329</v>
      </c>
      <c r="DM15" s="70">
        <v>56000</v>
      </c>
      <c r="DN15" s="70">
        <v>1000</v>
      </c>
      <c r="DO15" s="70">
        <v>0</v>
      </c>
      <c r="DP15" s="70"/>
      <c r="DQ15" s="71">
        <v>1950</v>
      </c>
      <c r="DR15" s="71">
        <f t="shared" si="37"/>
        <v>41329</v>
      </c>
      <c r="DS15" s="72"/>
      <c r="DT15" s="3">
        <f t="shared" si="30"/>
        <v>28.717948717948719</v>
      </c>
      <c r="DU15" s="3">
        <f t="shared" si="31"/>
        <v>0.51282051282051277</v>
      </c>
      <c r="DV15" s="3">
        <f t="shared" si="32"/>
        <v>0</v>
      </c>
      <c r="DW15" s="3">
        <f t="shared" si="33"/>
        <v>29.230769230769234</v>
      </c>
    </row>
    <row r="16" spans="1:127">
      <c r="C16" s="36">
        <v>9</v>
      </c>
      <c r="D16" s="37">
        <f t="shared" si="38"/>
        <v>38410</v>
      </c>
      <c r="E16" s="38">
        <v>19000</v>
      </c>
      <c r="F16" s="38">
        <v>6000</v>
      </c>
      <c r="G16" s="58"/>
      <c r="H16" s="39"/>
      <c r="I16" s="58">
        <v>2452</v>
      </c>
      <c r="J16" s="59" t="s">
        <v>18</v>
      </c>
      <c r="K16" s="3"/>
      <c r="L16" s="3">
        <f t="shared" si="0"/>
        <v>7.7487765089722673</v>
      </c>
      <c r="M16" s="3">
        <f t="shared" si="34"/>
        <v>2.4469820554649266</v>
      </c>
      <c r="N16" s="3">
        <f t="shared" si="1"/>
        <v>0</v>
      </c>
      <c r="O16" s="3">
        <f t="shared" si="35"/>
        <v>10.195758564437194</v>
      </c>
      <c r="Q16" s="36">
        <f t="shared" si="39"/>
        <v>9</v>
      </c>
      <c r="R16" s="37">
        <f t="shared" si="40"/>
        <v>38774</v>
      </c>
      <c r="S16" s="38">
        <f>(1319.28-21.52+4598+4902.1-30)+(1319.28-21.52+4598+4902.1-30)</f>
        <v>21535.72</v>
      </c>
      <c r="T16" s="38">
        <v>2000</v>
      </c>
      <c r="U16" s="58"/>
      <c r="V16" s="39"/>
      <c r="W16" s="58">
        <v>2336</v>
      </c>
      <c r="X16" s="59" t="s">
        <v>70</v>
      </c>
      <c r="Y16" s="3"/>
      <c r="Z16" s="3">
        <f t="shared" si="2"/>
        <v>9.2190582191780823</v>
      </c>
      <c r="AA16" s="3">
        <f t="shared" si="3"/>
        <v>0.85616438356164382</v>
      </c>
      <c r="AB16" s="3">
        <f t="shared" si="4"/>
        <v>0</v>
      </c>
      <c r="AC16" s="3">
        <f t="shared" si="5"/>
        <v>10.075222602739727</v>
      </c>
      <c r="AD16" s="3"/>
      <c r="AE16" s="36">
        <f t="shared" si="41"/>
        <v>9</v>
      </c>
      <c r="AF16" s="37">
        <f t="shared" si="42"/>
        <v>39145</v>
      </c>
      <c r="AG16" s="38">
        <v>54000</v>
      </c>
      <c r="AH16" s="38">
        <v>18000</v>
      </c>
      <c r="AI16" s="58"/>
      <c r="AJ16" s="39"/>
      <c r="AK16" s="58">
        <v>1084</v>
      </c>
      <c r="AL16" s="59" t="s">
        <v>122</v>
      </c>
      <c r="AM16" s="3"/>
      <c r="AN16" s="3">
        <f t="shared" si="6"/>
        <v>49.815498154981547</v>
      </c>
      <c r="AO16" s="3">
        <f t="shared" si="7"/>
        <v>16.605166051660518</v>
      </c>
      <c r="AP16" s="3">
        <f t="shared" si="8"/>
        <v>0</v>
      </c>
      <c r="AQ16" s="3">
        <f t="shared" si="9"/>
        <v>66.420664206642073</v>
      </c>
      <c r="AR16" s="3"/>
      <c r="AS16" s="36">
        <f t="shared" si="43"/>
        <v>9</v>
      </c>
      <c r="AT16" s="37">
        <f t="shared" si="44"/>
        <v>39509</v>
      </c>
      <c r="AU16" s="38">
        <f>(5430.65-20+9330.2+5819.88-286-80-10+500)+(5430.65-20+9330.2+5819.88-286-80-10+500)</f>
        <v>41369.46</v>
      </c>
      <c r="AV16" s="38">
        <v>7000</v>
      </c>
      <c r="AW16" s="39"/>
      <c r="AX16" s="39"/>
      <c r="AY16" s="58">
        <v>1712</v>
      </c>
      <c r="AZ16" s="59" t="s">
        <v>174</v>
      </c>
      <c r="BA16" s="3"/>
      <c r="BB16" s="3">
        <f t="shared" si="10"/>
        <v>16.871721044045678</v>
      </c>
      <c r="BC16" s="3">
        <f t="shared" si="11"/>
        <v>2.8548123980424145</v>
      </c>
      <c r="BD16" s="3">
        <f t="shared" si="12"/>
        <v>0</v>
      </c>
      <c r="BE16" s="3">
        <f t="shared" si="13"/>
        <v>19.726533442088094</v>
      </c>
      <c r="BG16" s="36">
        <f t="shared" si="45"/>
        <v>9</v>
      </c>
      <c r="BH16" s="37">
        <f t="shared" si="46"/>
        <v>39873</v>
      </c>
      <c r="BI16" s="38">
        <f>27000+(5430.65-20+9330.2+5819.88-286-80-10+500)</f>
        <v>47684.729999999996</v>
      </c>
      <c r="BJ16" s="38">
        <v>14000</v>
      </c>
      <c r="BK16" s="38">
        <v>7000</v>
      </c>
      <c r="BL16" s="38"/>
      <c r="BM16" s="58">
        <v>1450</v>
      </c>
      <c r="BN16" s="59" t="s">
        <v>226</v>
      </c>
      <c r="BO16" s="3"/>
      <c r="BP16" s="3">
        <f t="shared" si="14"/>
        <v>32.886020689655169</v>
      </c>
      <c r="BQ16" s="3">
        <f t="shared" si="15"/>
        <v>9.6551724137931032</v>
      </c>
      <c r="BR16" s="3">
        <f t="shared" si="16"/>
        <v>4.8275862068965516</v>
      </c>
      <c r="BS16" s="3">
        <f t="shared" si="17"/>
        <v>47.36877931034482</v>
      </c>
      <c r="BU16" s="36">
        <f t="shared" si="47"/>
        <v>9</v>
      </c>
      <c r="BV16" s="37">
        <f t="shared" si="48"/>
        <v>40237</v>
      </c>
      <c r="BW16" s="38">
        <v>30000</v>
      </c>
      <c r="BX16" s="40">
        <v>6000</v>
      </c>
      <c r="BY16" s="40">
        <v>1000</v>
      </c>
      <c r="BZ16" s="38"/>
      <c r="CA16" s="39">
        <v>2286</v>
      </c>
      <c r="CB16" s="65">
        <v>40237</v>
      </c>
      <c r="CC16" s="3"/>
      <c r="CD16" s="3">
        <f t="shared" si="18"/>
        <v>13.123359580052494</v>
      </c>
      <c r="CE16" s="3">
        <f t="shared" si="19"/>
        <v>2.6246719160104988</v>
      </c>
      <c r="CF16" s="3">
        <f t="shared" si="20"/>
        <v>0.43744531933508313</v>
      </c>
      <c r="CG16" s="3">
        <f t="shared" si="21"/>
        <v>16.185476815398076</v>
      </c>
      <c r="CI16" s="36">
        <f t="shared" si="49"/>
        <v>9</v>
      </c>
      <c r="CJ16" s="37">
        <f t="shared" si="50"/>
        <v>40601</v>
      </c>
      <c r="CK16" s="40">
        <v>60000</v>
      </c>
      <c r="CL16" s="40">
        <v>0</v>
      </c>
      <c r="CM16" s="40">
        <v>2000</v>
      </c>
      <c r="CN16" s="38"/>
      <c r="CO16" s="39">
        <v>1534</v>
      </c>
      <c r="CP16" s="65">
        <v>40601</v>
      </c>
      <c r="CQ16" s="3"/>
      <c r="CR16" s="3">
        <f t="shared" si="22"/>
        <v>39.113428943937421</v>
      </c>
      <c r="CS16" s="3">
        <f t="shared" si="23"/>
        <v>0</v>
      </c>
      <c r="CT16" s="3">
        <f t="shared" si="24"/>
        <v>1.3037809647979139</v>
      </c>
      <c r="CU16" s="3">
        <f t="shared" si="25"/>
        <v>40.417209908735337</v>
      </c>
      <c r="CW16" s="36">
        <f t="shared" si="51"/>
        <v>9</v>
      </c>
      <c r="CX16" s="37">
        <f t="shared" si="52"/>
        <v>40965</v>
      </c>
      <c r="CY16" s="40">
        <v>70727</v>
      </c>
      <c r="CZ16" s="70">
        <v>2000</v>
      </c>
      <c r="DA16" s="70">
        <v>0</v>
      </c>
      <c r="DB16" s="70"/>
      <c r="DC16" s="71">
        <v>1948</v>
      </c>
      <c r="DD16" s="71">
        <f t="shared" si="36"/>
        <v>40965</v>
      </c>
      <c r="DE16" s="72"/>
      <c r="DF16" s="3">
        <f t="shared" si="26"/>
        <v>36.307494866529773</v>
      </c>
      <c r="DG16" s="3">
        <f t="shared" si="27"/>
        <v>1.0266940451745379</v>
      </c>
      <c r="DH16" s="3">
        <f t="shared" si="28"/>
        <v>0</v>
      </c>
      <c r="DI16" s="3">
        <f t="shared" si="29"/>
        <v>37.33418891170431</v>
      </c>
      <c r="DK16" s="36">
        <f t="shared" si="53"/>
        <v>9</v>
      </c>
      <c r="DL16" s="37">
        <f t="shared" si="54"/>
        <v>41336</v>
      </c>
      <c r="DM16" s="70">
        <v>72000</v>
      </c>
      <c r="DN16" s="70">
        <v>0</v>
      </c>
      <c r="DO16" s="70">
        <v>0</v>
      </c>
      <c r="DP16" s="70"/>
      <c r="DQ16" s="71">
        <v>1844</v>
      </c>
      <c r="DR16" s="71">
        <f t="shared" si="37"/>
        <v>41336</v>
      </c>
      <c r="DS16" s="72"/>
      <c r="DT16" s="3">
        <f t="shared" si="30"/>
        <v>39.045553145336228</v>
      </c>
      <c r="DU16" s="3">
        <f t="shared" si="31"/>
        <v>0</v>
      </c>
      <c r="DV16" s="3">
        <f t="shared" si="32"/>
        <v>0</v>
      </c>
      <c r="DW16" s="3">
        <f t="shared" si="33"/>
        <v>39.045553145336228</v>
      </c>
    </row>
    <row r="17" spans="3:127">
      <c r="C17" s="36">
        <v>10</v>
      </c>
      <c r="D17" s="37">
        <f t="shared" si="38"/>
        <v>38417</v>
      </c>
      <c r="E17" s="38">
        <v>39000</v>
      </c>
      <c r="F17" s="38">
        <v>2000</v>
      </c>
      <c r="G17" s="58"/>
      <c r="H17" s="39"/>
      <c r="I17" s="60">
        <v>2424</v>
      </c>
      <c r="J17" s="61" t="s">
        <v>19</v>
      </c>
      <c r="K17" s="3"/>
      <c r="L17" s="3">
        <f t="shared" si="0"/>
        <v>16.089108910891088</v>
      </c>
      <c r="M17" s="3">
        <f t="shared" si="34"/>
        <v>0.82508250825082508</v>
      </c>
      <c r="N17" s="3">
        <f t="shared" si="1"/>
        <v>0</v>
      </c>
      <c r="O17" s="3">
        <f t="shared" si="35"/>
        <v>16.914191419141915</v>
      </c>
      <c r="Q17" s="36">
        <f t="shared" si="39"/>
        <v>10</v>
      </c>
      <c r="R17" s="37">
        <f t="shared" si="40"/>
        <v>38781</v>
      </c>
      <c r="S17" s="38">
        <f>(4635.25-37-10+8101+6915.54-125)+(4635.25-37-10+8101+6915.54-125)</f>
        <v>38959.58</v>
      </c>
      <c r="T17" s="38">
        <v>4000</v>
      </c>
      <c r="U17" s="58"/>
      <c r="V17" s="39"/>
      <c r="W17" s="63">
        <v>2248</v>
      </c>
      <c r="X17" s="61" t="s">
        <v>71</v>
      </c>
      <c r="Y17" s="3"/>
      <c r="Z17" s="3">
        <f t="shared" si="2"/>
        <v>17.330774021352315</v>
      </c>
      <c r="AA17" s="3">
        <f t="shared" si="3"/>
        <v>1.7793594306049823</v>
      </c>
      <c r="AB17" s="3">
        <f t="shared" si="4"/>
        <v>0</v>
      </c>
      <c r="AC17" s="3">
        <f t="shared" si="5"/>
        <v>19.110133451957296</v>
      </c>
      <c r="AD17" s="3"/>
      <c r="AE17" s="36">
        <f t="shared" si="41"/>
        <v>10</v>
      </c>
      <c r="AF17" s="37">
        <f t="shared" si="42"/>
        <v>39152</v>
      </c>
      <c r="AG17" s="38">
        <v>38000</v>
      </c>
      <c r="AH17" s="38">
        <v>57000</v>
      </c>
      <c r="AI17" s="58"/>
      <c r="AJ17" s="39"/>
      <c r="AK17" s="60">
        <v>1068</v>
      </c>
      <c r="AL17" s="61" t="s">
        <v>123</v>
      </c>
      <c r="AM17" s="3"/>
      <c r="AN17" s="3">
        <f t="shared" si="6"/>
        <v>35.580524344569291</v>
      </c>
      <c r="AO17" s="3">
        <f t="shared" si="7"/>
        <v>53.370786516853933</v>
      </c>
      <c r="AP17" s="3">
        <f t="shared" si="8"/>
        <v>0</v>
      </c>
      <c r="AQ17" s="3">
        <f t="shared" si="9"/>
        <v>88.951310861423224</v>
      </c>
      <c r="AR17" s="3"/>
      <c r="AS17" s="36">
        <f t="shared" si="43"/>
        <v>10</v>
      </c>
      <c r="AT17" s="37">
        <f t="shared" si="44"/>
        <v>39516</v>
      </c>
      <c r="AU17" s="38">
        <f>(6922.31-20-300+7086.13-100+5156.3-281-15)+(6922.31-20-300+7086.13-100+5156.3-281-15)</f>
        <v>36897.480000000003</v>
      </c>
      <c r="AV17" s="38">
        <v>6000</v>
      </c>
      <c r="AW17" s="39"/>
      <c r="AX17" s="39"/>
      <c r="AY17" s="60">
        <v>1652</v>
      </c>
      <c r="AZ17" s="61" t="s">
        <v>175</v>
      </c>
      <c r="BA17" s="3"/>
      <c r="BB17" s="3">
        <f t="shared" si="10"/>
        <v>15.221732673267327</v>
      </c>
      <c r="BC17" s="3">
        <f t="shared" si="11"/>
        <v>2.4752475247524752</v>
      </c>
      <c r="BD17" s="3">
        <f t="shared" si="12"/>
        <v>0</v>
      </c>
      <c r="BE17" s="3">
        <f t="shared" si="13"/>
        <v>17.696980198019801</v>
      </c>
      <c r="BG17" s="36">
        <f t="shared" si="45"/>
        <v>10</v>
      </c>
      <c r="BH17" s="37">
        <f t="shared" si="46"/>
        <v>39880</v>
      </c>
      <c r="BI17" s="38">
        <f>23000+(6922.31-20-300+7086.13-100+5156.3-281-15)</f>
        <v>41448.740000000005</v>
      </c>
      <c r="BJ17" s="38">
        <v>7000</v>
      </c>
      <c r="BK17" s="38">
        <v>1000</v>
      </c>
      <c r="BL17" s="38"/>
      <c r="BM17" s="58">
        <v>1304</v>
      </c>
      <c r="BN17" s="61" t="s">
        <v>227</v>
      </c>
      <c r="BO17" s="3"/>
      <c r="BP17" s="3">
        <f t="shared" si="14"/>
        <v>31.785843558282213</v>
      </c>
      <c r="BQ17" s="3">
        <f t="shared" si="15"/>
        <v>5.3680981595092021</v>
      </c>
      <c r="BR17" s="3">
        <f t="shared" si="16"/>
        <v>0.76687116564417179</v>
      </c>
      <c r="BS17" s="3">
        <f t="shared" si="17"/>
        <v>37.92081288343558</v>
      </c>
      <c r="BU17" s="36">
        <f t="shared" si="47"/>
        <v>10</v>
      </c>
      <c r="BV17" s="37">
        <f t="shared" si="48"/>
        <v>40244</v>
      </c>
      <c r="BW17" s="38">
        <v>50000</v>
      </c>
      <c r="BX17" s="40">
        <v>2000</v>
      </c>
      <c r="BY17" s="40">
        <v>2000</v>
      </c>
      <c r="BZ17" s="38"/>
      <c r="CA17" s="39">
        <v>2685</v>
      </c>
      <c r="CB17" s="65">
        <v>40244</v>
      </c>
      <c r="CC17" s="3"/>
      <c r="CD17" s="3">
        <f t="shared" si="18"/>
        <v>18.6219739292365</v>
      </c>
      <c r="CE17" s="3">
        <f t="shared" si="19"/>
        <v>0.74487895716945995</v>
      </c>
      <c r="CF17" s="3">
        <f t="shared" si="20"/>
        <v>0.74487895716945995</v>
      </c>
      <c r="CG17" s="3">
        <f t="shared" si="21"/>
        <v>20.111731843575416</v>
      </c>
      <c r="CI17" s="36">
        <f t="shared" si="49"/>
        <v>10</v>
      </c>
      <c r="CJ17" s="37">
        <f t="shared" si="50"/>
        <v>40608</v>
      </c>
      <c r="CK17" s="40">
        <v>70000</v>
      </c>
      <c r="CL17" s="40">
        <v>1000</v>
      </c>
      <c r="CM17" s="40">
        <v>3000</v>
      </c>
      <c r="CN17" s="38"/>
      <c r="CO17" s="39">
        <v>1770</v>
      </c>
      <c r="CP17" s="65">
        <v>40608</v>
      </c>
      <c r="CQ17" s="3"/>
      <c r="CR17" s="3">
        <f t="shared" si="22"/>
        <v>39.548022598870055</v>
      </c>
      <c r="CS17" s="3">
        <f t="shared" si="23"/>
        <v>0.56497175141242939</v>
      </c>
      <c r="CT17" s="3">
        <f t="shared" si="24"/>
        <v>1.6949152542372881</v>
      </c>
      <c r="CU17" s="3">
        <f t="shared" si="25"/>
        <v>41.807909604519772</v>
      </c>
      <c r="CW17" s="36">
        <f t="shared" si="51"/>
        <v>10</v>
      </c>
      <c r="CX17" s="37">
        <f t="shared" si="52"/>
        <v>40972</v>
      </c>
      <c r="CY17" s="40">
        <v>83626</v>
      </c>
      <c r="CZ17" s="70">
        <v>15000</v>
      </c>
      <c r="DA17" s="70">
        <v>0</v>
      </c>
      <c r="DB17" s="70"/>
      <c r="DC17" s="71">
        <v>2018</v>
      </c>
      <c r="DD17" s="71">
        <f t="shared" si="36"/>
        <v>40972</v>
      </c>
      <c r="DE17" s="72"/>
      <c r="DF17" s="3">
        <f t="shared" si="26"/>
        <v>41.440039643211101</v>
      </c>
      <c r="DG17" s="3">
        <f t="shared" si="27"/>
        <v>7.4331020812685829</v>
      </c>
      <c r="DH17" s="3">
        <f t="shared" si="28"/>
        <v>0</v>
      </c>
      <c r="DI17" s="3">
        <f t="shared" si="29"/>
        <v>48.87314172447968</v>
      </c>
      <c r="DK17" s="36">
        <f t="shared" si="53"/>
        <v>10</v>
      </c>
      <c r="DL17" s="37">
        <f t="shared" si="54"/>
        <v>41343</v>
      </c>
      <c r="DM17" s="70">
        <v>70000</v>
      </c>
      <c r="DN17" s="70">
        <v>1000</v>
      </c>
      <c r="DO17" s="70">
        <v>0</v>
      </c>
      <c r="DP17" s="70"/>
      <c r="DQ17" s="71">
        <v>1596</v>
      </c>
      <c r="DR17" s="71">
        <f t="shared" si="37"/>
        <v>41343</v>
      </c>
      <c r="DS17" s="72"/>
      <c r="DT17" s="3">
        <f t="shared" si="30"/>
        <v>43.859649122807021</v>
      </c>
      <c r="DU17" s="3">
        <f t="shared" si="31"/>
        <v>0.62656641604010022</v>
      </c>
      <c r="DV17" s="3">
        <f t="shared" si="32"/>
        <v>0</v>
      </c>
      <c r="DW17" s="3">
        <f t="shared" si="33"/>
        <v>44.486215538847119</v>
      </c>
    </row>
    <row r="18" spans="3:127">
      <c r="C18" s="36">
        <v>11</v>
      </c>
      <c r="D18" s="37">
        <f t="shared" si="38"/>
        <v>38424</v>
      </c>
      <c r="E18" s="38">
        <v>27000</v>
      </c>
      <c r="F18" s="38">
        <v>2000</v>
      </c>
      <c r="G18" s="58"/>
      <c r="H18" s="39"/>
      <c r="I18" s="58">
        <v>2216</v>
      </c>
      <c r="J18" s="59" t="s">
        <v>20</v>
      </c>
      <c r="K18" s="3"/>
      <c r="L18" s="3">
        <f t="shared" si="0"/>
        <v>12.184115523465705</v>
      </c>
      <c r="M18" s="3">
        <f t="shared" si="34"/>
        <v>0.90252707581227432</v>
      </c>
      <c r="N18" s="3">
        <f t="shared" si="1"/>
        <v>0</v>
      </c>
      <c r="O18" s="3">
        <f t="shared" si="35"/>
        <v>13.08664259927798</v>
      </c>
      <c r="Q18" s="36">
        <f t="shared" si="39"/>
        <v>11</v>
      </c>
      <c r="R18" s="37">
        <f t="shared" si="40"/>
        <v>38788</v>
      </c>
      <c r="S18" s="38">
        <f>(5221.52-100+4410.6-100+5191+1750-60)+(5221.52-100+4410.6-100+5191+1750-60)</f>
        <v>32626.240000000002</v>
      </c>
      <c r="T18" s="38">
        <v>2000</v>
      </c>
      <c r="U18" s="58"/>
      <c r="V18" s="39"/>
      <c r="W18" s="63">
        <v>2544</v>
      </c>
      <c r="X18" s="59" t="s">
        <v>72</v>
      </c>
      <c r="Y18" s="3"/>
      <c r="Z18" s="3">
        <f t="shared" si="2"/>
        <v>12.824779874213837</v>
      </c>
      <c r="AA18" s="3">
        <f t="shared" si="3"/>
        <v>0.78616352201257866</v>
      </c>
      <c r="AB18" s="3">
        <f t="shared" si="4"/>
        <v>0</v>
      </c>
      <c r="AC18" s="3">
        <f t="shared" si="5"/>
        <v>13.610943396226416</v>
      </c>
      <c r="AD18" s="3"/>
      <c r="AE18" s="36">
        <f t="shared" si="41"/>
        <v>11</v>
      </c>
      <c r="AF18" s="37">
        <f t="shared" si="42"/>
        <v>39159</v>
      </c>
      <c r="AG18" s="38">
        <v>30000</v>
      </c>
      <c r="AH18" s="38">
        <v>3000</v>
      </c>
      <c r="AI18" s="58"/>
      <c r="AJ18" s="39"/>
      <c r="AK18" s="60">
        <v>1028</v>
      </c>
      <c r="AL18" s="59" t="s">
        <v>124</v>
      </c>
      <c r="AM18" s="3"/>
      <c r="AN18" s="3">
        <f t="shared" si="6"/>
        <v>29.182879377431906</v>
      </c>
      <c r="AO18" s="3">
        <f t="shared" si="7"/>
        <v>2.9182879377431905</v>
      </c>
      <c r="AP18" s="3">
        <f t="shared" si="8"/>
        <v>0</v>
      </c>
      <c r="AQ18" s="3">
        <f t="shared" si="9"/>
        <v>32.101167315175097</v>
      </c>
      <c r="AR18" s="3"/>
      <c r="AS18" s="36">
        <f t="shared" si="43"/>
        <v>11</v>
      </c>
      <c r="AT18" s="37">
        <f t="shared" si="44"/>
        <v>39523</v>
      </c>
      <c r="AU18" s="38">
        <f>(8578.5-402-2500+6856+5382-20+470)+(8578.5-402-2500+6856+5382-20+470)</f>
        <v>36729</v>
      </c>
      <c r="AV18" s="38">
        <v>6000</v>
      </c>
      <c r="AW18" s="39"/>
      <c r="AX18" s="39"/>
      <c r="AY18" s="60">
        <v>1689</v>
      </c>
      <c r="AZ18" s="59" t="s">
        <v>176</v>
      </c>
      <c r="BA18" s="3"/>
      <c r="BB18" s="3">
        <f t="shared" si="10"/>
        <v>16.574458483754512</v>
      </c>
      <c r="BC18" s="3">
        <f t="shared" si="11"/>
        <v>2.7075812274368229</v>
      </c>
      <c r="BD18" s="3">
        <f t="shared" si="12"/>
        <v>0</v>
      </c>
      <c r="BE18" s="3">
        <f t="shared" si="13"/>
        <v>19.282039711191334</v>
      </c>
      <c r="BG18" s="36">
        <f t="shared" si="45"/>
        <v>11</v>
      </c>
      <c r="BH18" s="37">
        <f t="shared" si="46"/>
        <v>39887</v>
      </c>
      <c r="BI18" s="38">
        <f>21000+(8578.5-402-2500+6856+5382-20+470)</f>
        <v>39364.5</v>
      </c>
      <c r="BJ18" s="38">
        <v>6000</v>
      </c>
      <c r="BK18" s="38">
        <v>10000</v>
      </c>
      <c r="BL18" s="38"/>
      <c r="BM18" s="60">
        <v>1492</v>
      </c>
      <c r="BN18" s="59" t="s">
        <v>228</v>
      </c>
      <c r="BO18" s="3"/>
      <c r="BP18" s="3">
        <f t="shared" si="14"/>
        <v>26.383713136729224</v>
      </c>
      <c r="BQ18" s="3">
        <f t="shared" si="15"/>
        <v>4.0214477211796247</v>
      </c>
      <c r="BR18" s="3">
        <f t="shared" si="16"/>
        <v>6.7024128686327078</v>
      </c>
      <c r="BS18" s="3">
        <f t="shared" si="17"/>
        <v>37.107573726541553</v>
      </c>
      <c r="BU18" s="36">
        <f t="shared" si="47"/>
        <v>11</v>
      </c>
      <c r="BV18" s="37">
        <f t="shared" si="48"/>
        <v>40251</v>
      </c>
      <c r="BW18" s="38">
        <v>50000</v>
      </c>
      <c r="BX18" s="40">
        <v>3000</v>
      </c>
      <c r="BY18" s="40">
        <v>2000</v>
      </c>
      <c r="BZ18" s="38"/>
      <c r="CA18" s="39">
        <v>2476</v>
      </c>
      <c r="CB18" s="65">
        <v>40251</v>
      </c>
      <c r="CC18" s="3"/>
      <c r="CD18" s="3">
        <f t="shared" si="18"/>
        <v>20.193861066235865</v>
      </c>
      <c r="CE18" s="3">
        <f t="shared" si="19"/>
        <v>1.2116316639741518</v>
      </c>
      <c r="CF18" s="3">
        <f t="shared" si="20"/>
        <v>0.80775444264943452</v>
      </c>
      <c r="CG18" s="3">
        <f t="shared" si="21"/>
        <v>22.213247172859454</v>
      </c>
      <c r="CI18" s="36">
        <f t="shared" si="49"/>
        <v>11</v>
      </c>
      <c r="CJ18" s="37">
        <f t="shared" si="50"/>
        <v>40615</v>
      </c>
      <c r="CK18" s="40">
        <v>46000</v>
      </c>
      <c r="CL18" s="40">
        <v>1000</v>
      </c>
      <c r="CM18" s="40">
        <v>4000</v>
      </c>
      <c r="CN18" s="38"/>
      <c r="CO18" s="39">
        <v>1682</v>
      </c>
      <c r="CP18" s="65">
        <v>40615</v>
      </c>
      <c r="CQ18" s="3"/>
      <c r="CR18" s="3">
        <f t="shared" si="22"/>
        <v>27.348394768133176</v>
      </c>
      <c r="CS18" s="3">
        <f t="shared" si="23"/>
        <v>0.59453032104637338</v>
      </c>
      <c r="CT18" s="3">
        <f t="shared" si="24"/>
        <v>2.3781212841854935</v>
      </c>
      <c r="CU18" s="3">
        <f t="shared" si="25"/>
        <v>30.321046373365043</v>
      </c>
      <c r="CW18" s="36">
        <f t="shared" si="51"/>
        <v>11</v>
      </c>
      <c r="CX18" s="37">
        <f t="shared" si="52"/>
        <v>40979</v>
      </c>
      <c r="CY18" s="40">
        <v>54616</v>
      </c>
      <c r="CZ18" s="70">
        <v>2000</v>
      </c>
      <c r="DA18" s="70">
        <v>0</v>
      </c>
      <c r="DB18" s="70"/>
      <c r="DC18" s="71">
        <v>1820</v>
      </c>
      <c r="DD18" s="71">
        <f t="shared" si="36"/>
        <v>40979</v>
      </c>
      <c r="DE18" s="72"/>
      <c r="DF18" s="3">
        <f t="shared" si="26"/>
        <v>30.008791208791209</v>
      </c>
      <c r="DG18" s="3">
        <f t="shared" si="27"/>
        <v>1.098901098901099</v>
      </c>
      <c r="DH18" s="3">
        <f t="shared" si="28"/>
        <v>0</v>
      </c>
      <c r="DI18" s="3">
        <f t="shared" si="29"/>
        <v>31.107692307692307</v>
      </c>
      <c r="DK18" s="36">
        <f t="shared" si="53"/>
        <v>11</v>
      </c>
      <c r="DL18" s="37">
        <f t="shared" si="54"/>
        <v>41350</v>
      </c>
      <c r="DM18" s="70">
        <v>62000</v>
      </c>
      <c r="DN18" s="70">
        <v>2000</v>
      </c>
      <c r="DO18" s="70">
        <v>0</v>
      </c>
      <c r="DP18" s="70"/>
      <c r="DQ18" s="71">
        <v>1942</v>
      </c>
      <c r="DR18" s="71">
        <f t="shared" si="37"/>
        <v>41350</v>
      </c>
      <c r="DS18" s="72"/>
      <c r="DT18" s="3">
        <f t="shared" si="30"/>
        <v>31.925849639546858</v>
      </c>
      <c r="DU18" s="3">
        <f t="shared" si="31"/>
        <v>1.0298661174047374</v>
      </c>
      <c r="DV18" s="3">
        <f t="shared" si="32"/>
        <v>0</v>
      </c>
      <c r="DW18" s="3">
        <f t="shared" si="33"/>
        <v>32.955715756951598</v>
      </c>
    </row>
    <row r="19" spans="3:127">
      <c r="C19" s="36">
        <v>12</v>
      </c>
      <c r="D19" s="37">
        <f t="shared" si="38"/>
        <v>38431</v>
      </c>
      <c r="E19" s="38">
        <v>20000</v>
      </c>
      <c r="F19" s="38">
        <v>2000</v>
      </c>
      <c r="G19" s="58"/>
      <c r="H19" s="39"/>
      <c r="I19" s="58">
        <v>2424</v>
      </c>
      <c r="J19" s="59" t="s">
        <v>21</v>
      </c>
      <c r="K19" s="3"/>
      <c r="L19" s="3">
        <f t="shared" si="0"/>
        <v>8.2508250825082516</v>
      </c>
      <c r="M19" s="3">
        <f t="shared" si="34"/>
        <v>0.82508250825082508</v>
      </c>
      <c r="N19" s="3">
        <f t="shared" si="1"/>
        <v>0</v>
      </c>
      <c r="O19" s="3">
        <f t="shared" si="35"/>
        <v>9.0759075907590763</v>
      </c>
      <c r="Q19" s="36">
        <f t="shared" si="39"/>
        <v>12</v>
      </c>
      <c r="R19" s="37">
        <f t="shared" si="40"/>
        <v>38795</v>
      </c>
      <c r="S19" s="38">
        <f>(3782.45+5792+3781)+(3782.45+5792+3781)</f>
        <v>26710.9</v>
      </c>
      <c r="T19" s="38">
        <v>3000</v>
      </c>
      <c r="U19" s="58"/>
      <c r="V19" s="39"/>
      <c r="W19" s="63">
        <v>2420</v>
      </c>
      <c r="X19" s="59" t="s">
        <v>73</v>
      </c>
      <c r="Y19" s="3"/>
      <c r="Z19" s="3">
        <f t="shared" si="2"/>
        <v>11.037561983471075</v>
      </c>
      <c r="AA19" s="3">
        <f t="shared" si="3"/>
        <v>1.2396694214876034</v>
      </c>
      <c r="AB19" s="3">
        <f t="shared" si="4"/>
        <v>0</v>
      </c>
      <c r="AC19" s="3">
        <f t="shared" si="5"/>
        <v>12.277231404958679</v>
      </c>
      <c r="AD19" s="3"/>
      <c r="AE19" s="36">
        <f t="shared" si="41"/>
        <v>12</v>
      </c>
      <c r="AF19" s="37">
        <f t="shared" si="42"/>
        <v>39166</v>
      </c>
      <c r="AG19" s="38">
        <v>20000</v>
      </c>
      <c r="AH19" s="38">
        <v>7000</v>
      </c>
      <c r="AI19" s="58"/>
      <c r="AJ19" s="39"/>
      <c r="AK19" s="60">
        <v>1084</v>
      </c>
      <c r="AL19" s="59" t="s">
        <v>125</v>
      </c>
      <c r="AM19" s="3"/>
      <c r="AN19" s="3">
        <f t="shared" si="6"/>
        <v>18.450184501845019</v>
      </c>
      <c r="AO19" s="3">
        <f t="shared" si="7"/>
        <v>6.4575645756457565</v>
      </c>
      <c r="AP19" s="3">
        <f t="shared" si="8"/>
        <v>0</v>
      </c>
      <c r="AQ19" s="3">
        <f t="shared" si="9"/>
        <v>24.907749077490777</v>
      </c>
      <c r="AR19" s="3"/>
      <c r="AS19" s="36">
        <f t="shared" si="43"/>
        <v>12</v>
      </c>
      <c r="AT19" s="37">
        <f t="shared" si="44"/>
        <v>39530</v>
      </c>
      <c r="AU19" s="38">
        <f>(14110.55-25+5393.3-150-20)+(14110.55-25+5393.3-150-20)</f>
        <v>38617.699999999997</v>
      </c>
      <c r="AV19" s="38">
        <v>8000</v>
      </c>
      <c r="AW19" s="39"/>
      <c r="AX19" s="39"/>
      <c r="AY19" s="60">
        <v>1765</v>
      </c>
      <c r="AZ19" s="59" t="s">
        <v>177</v>
      </c>
      <c r="BA19" s="3"/>
      <c r="BB19" s="3">
        <f t="shared" si="10"/>
        <v>15.931394389438942</v>
      </c>
      <c r="BC19" s="3">
        <f t="shared" si="11"/>
        <v>3.3003300330033003</v>
      </c>
      <c r="BD19" s="3">
        <f t="shared" si="12"/>
        <v>0</v>
      </c>
      <c r="BE19" s="3">
        <f t="shared" si="13"/>
        <v>19.231724422442241</v>
      </c>
      <c r="BG19" s="36">
        <f t="shared" si="45"/>
        <v>12</v>
      </c>
      <c r="BH19" s="37">
        <f t="shared" si="46"/>
        <v>39894</v>
      </c>
      <c r="BI19" s="38">
        <f>16000+(14110.55-25+5393.3-150-20)</f>
        <v>35308.85</v>
      </c>
      <c r="BJ19" s="38">
        <v>3000</v>
      </c>
      <c r="BK19" s="38">
        <v>5000</v>
      </c>
      <c r="BL19" s="38"/>
      <c r="BM19" s="60">
        <v>2048</v>
      </c>
      <c r="BN19" s="59" t="s">
        <v>229</v>
      </c>
      <c r="BO19" s="3"/>
      <c r="BP19" s="3">
        <f t="shared" si="14"/>
        <v>17.240649414062499</v>
      </c>
      <c r="BQ19" s="3">
        <f t="shared" si="15"/>
        <v>1.46484375</v>
      </c>
      <c r="BR19" s="3">
        <f t="shared" si="16"/>
        <v>2.44140625</v>
      </c>
      <c r="BS19" s="3">
        <f t="shared" si="17"/>
        <v>21.146899414062499</v>
      </c>
      <c r="BU19" s="36">
        <f t="shared" si="47"/>
        <v>12</v>
      </c>
      <c r="BV19" s="37">
        <f t="shared" si="48"/>
        <v>40258</v>
      </c>
      <c r="BW19" s="38">
        <v>50000</v>
      </c>
      <c r="BX19" s="40">
        <v>2000</v>
      </c>
      <c r="BY19" s="40">
        <v>2000</v>
      </c>
      <c r="BZ19" s="38"/>
      <c r="CA19" s="39">
        <v>2406</v>
      </c>
      <c r="CB19" s="65">
        <v>40258</v>
      </c>
      <c r="CC19" s="3"/>
      <c r="CD19" s="3">
        <f t="shared" si="18"/>
        <v>20.781379883624272</v>
      </c>
      <c r="CE19" s="3">
        <f t="shared" si="19"/>
        <v>0.83125519534497094</v>
      </c>
      <c r="CF19" s="3">
        <f t="shared" si="20"/>
        <v>0.83125519534497094</v>
      </c>
      <c r="CG19" s="3">
        <f t="shared" si="21"/>
        <v>22.443890274314214</v>
      </c>
      <c r="CI19" s="36">
        <f t="shared" si="49"/>
        <v>12</v>
      </c>
      <c r="CJ19" s="37">
        <f t="shared" si="50"/>
        <v>40622</v>
      </c>
      <c r="CK19" s="40">
        <v>44000</v>
      </c>
      <c r="CL19" s="40">
        <v>1000</v>
      </c>
      <c r="CM19" s="40">
        <v>2000</v>
      </c>
      <c r="CN19" s="38"/>
      <c r="CO19" s="39">
        <v>1622</v>
      </c>
      <c r="CP19" s="65">
        <v>40622</v>
      </c>
      <c r="CQ19" s="3"/>
      <c r="CR19" s="3">
        <f t="shared" si="22"/>
        <v>27.127003699136868</v>
      </c>
      <c r="CS19" s="3">
        <f t="shared" si="23"/>
        <v>0.61652281134401976</v>
      </c>
      <c r="CT19" s="3">
        <f t="shared" si="24"/>
        <v>1.2330456226880395</v>
      </c>
      <c r="CU19" s="3">
        <f t="shared" si="25"/>
        <v>28.976572133168926</v>
      </c>
      <c r="CW19" s="36">
        <f t="shared" si="51"/>
        <v>12</v>
      </c>
      <c r="CX19" s="37">
        <f t="shared" si="52"/>
        <v>40986</v>
      </c>
      <c r="CY19" s="40">
        <v>44712</v>
      </c>
      <c r="CZ19" s="70">
        <v>1000</v>
      </c>
      <c r="DA19" s="70">
        <v>0</v>
      </c>
      <c r="DB19" s="70"/>
      <c r="DC19" s="71">
        <v>1864</v>
      </c>
      <c r="DD19" s="71">
        <f t="shared" si="36"/>
        <v>40986</v>
      </c>
      <c r="DE19" s="72"/>
      <c r="DF19" s="3">
        <f t="shared" si="26"/>
        <v>23.987124463519315</v>
      </c>
      <c r="DG19" s="3">
        <f t="shared" si="27"/>
        <v>0.53648068669527893</v>
      </c>
      <c r="DH19" s="3">
        <f t="shared" si="28"/>
        <v>0</v>
      </c>
      <c r="DI19" s="3">
        <f t="shared" si="29"/>
        <v>24.523605150214593</v>
      </c>
      <c r="DK19" s="36">
        <f t="shared" si="53"/>
        <v>12</v>
      </c>
      <c r="DL19" s="37">
        <f t="shared" si="54"/>
        <v>41357</v>
      </c>
      <c r="DM19" s="70">
        <v>64000</v>
      </c>
      <c r="DN19" s="70">
        <v>0</v>
      </c>
      <c r="DO19" s="70">
        <v>0</v>
      </c>
      <c r="DP19" s="70"/>
      <c r="DQ19" s="71">
        <v>1932</v>
      </c>
      <c r="DR19" s="71">
        <f t="shared" si="37"/>
        <v>41357</v>
      </c>
      <c r="DS19" s="72"/>
      <c r="DT19" s="3">
        <f t="shared" si="30"/>
        <v>33.126293995859214</v>
      </c>
      <c r="DU19" s="3">
        <f t="shared" si="31"/>
        <v>0</v>
      </c>
      <c r="DV19" s="3">
        <f t="shared" si="32"/>
        <v>0</v>
      </c>
      <c r="DW19" s="3">
        <f t="shared" si="33"/>
        <v>33.126293995859214</v>
      </c>
    </row>
    <row r="20" spans="3:127">
      <c r="C20" s="36">
        <v>13</v>
      </c>
      <c r="D20" s="37">
        <f t="shared" si="38"/>
        <v>38438</v>
      </c>
      <c r="E20" s="38">
        <v>17000</v>
      </c>
      <c r="F20" s="38">
        <v>3000</v>
      </c>
      <c r="G20" s="58"/>
      <c r="H20" s="39"/>
      <c r="I20" s="58">
        <v>1992</v>
      </c>
      <c r="J20" s="59" t="s">
        <v>22</v>
      </c>
      <c r="K20" s="3"/>
      <c r="L20" s="3">
        <f t="shared" si="0"/>
        <v>8.5341365461847385</v>
      </c>
      <c r="M20" s="3">
        <f t="shared" si="34"/>
        <v>1.5060240963855422</v>
      </c>
      <c r="N20" s="3">
        <f t="shared" si="1"/>
        <v>0</v>
      </c>
      <c r="O20" s="3">
        <f t="shared" si="35"/>
        <v>10.040160642570282</v>
      </c>
      <c r="Q20" s="36">
        <f t="shared" si="39"/>
        <v>13</v>
      </c>
      <c r="R20" s="37">
        <f t="shared" si="40"/>
        <v>38802</v>
      </c>
      <c r="S20" s="38">
        <f>(2874-30+4862+8499.25-1)+(2874-30+4862+8499.25-1)</f>
        <v>32408.5</v>
      </c>
      <c r="T20" s="38">
        <v>1000</v>
      </c>
      <c r="U20" s="58"/>
      <c r="V20" s="39"/>
      <c r="W20" s="63">
        <v>2252</v>
      </c>
      <c r="X20" s="59" t="s">
        <v>74</v>
      </c>
      <c r="Y20" s="3"/>
      <c r="Z20" s="3">
        <f t="shared" si="2"/>
        <v>14.390985790408525</v>
      </c>
      <c r="AA20" s="3">
        <f t="shared" si="3"/>
        <v>0.44404973357015987</v>
      </c>
      <c r="AB20" s="3">
        <f t="shared" si="4"/>
        <v>0</v>
      </c>
      <c r="AC20" s="3">
        <f t="shared" si="5"/>
        <v>14.835035523978686</v>
      </c>
      <c r="AD20" s="3"/>
      <c r="AE20" s="36">
        <f t="shared" si="41"/>
        <v>13</v>
      </c>
      <c r="AF20" s="37">
        <f t="shared" si="42"/>
        <v>39173</v>
      </c>
      <c r="AG20" s="38">
        <v>48000</v>
      </c>
      <c r="AH20" s="38">
        <v>8000</v>
      </c>
      <c r="AI20" s="58"/>
      <c r="AJ20" s="39"/>
      <c r="AK20" s="60">
        <v>1022</v>
      </c>
      <c r="AL20" s="59" t="s">
        <v>126</v>
      </c>
      <c r="AM20" s="3"/>
      <c r="AN20" s="3">
        <f t="shared" si="6"/>
        <v>46.966731898238748</v>
      </c>
      <c r="AO20" s="3">
        <f t="shared" si="7"/>
        <v>7.8277886497064575</v>
      </c>
      <c r="AP20" s="3">
        <f t="shared" si="8"/>
        <v>0</v>
      </c>
      <c r="AQ20" s="3">
        <f t="shared" si="9"/>
        <v>54.794520547945204</v>
      </c>
      <c r="AR20" s="3"/>
      <c r="AS20" s="36">
        <f t="shared" si="43"/>
        <v>13</v>
      </c>
      <c r="AT20" s="37">
        <f t="shared" si="44"/>
        <v>39537</v>
      </c>
      <c r="AU20" s="38">
        <f>(5608.85-45-50-25-100-228.85+6480.23+6413.75-527)+(5608.85-45-50-25-100-228.85+6480.23+6413.75-527)</f>
        <v>35053.96</v>
      </c>
      <c r="AV20" s="38">
        <v>6000</v>
      </c>
      <c r="AW20" s="39"/>
      <c r="AX20" s="39"/>
      <c r="AY20" s="60">
        <v>1646</v>
      </c>
      <c r="AZ20" s="59" t="s">
        <v>178</v>
      </c>
      <c r="BA20" s="3"/>
      <c r="BB20" s="3">
        <f t="shared" si="10"/>
        <v>17.597369477911645</v>
      </c>
      <c r="BC20" s="3">
        <f t="shared" si="11"/>
        <v>3.0120481927710845</v>
      </c>
      <c r="BD20" s="3">
        <f t="shared" si="12"/>
        <v>0</v>
      </c>
      <c r="BE20" s="3">
        <f t="shared" si="13"/>
        <v>20.609417670682731</v>
      </c>
      <c r="BG20" s="36">
        <f t="shared" si="45"/>
        <v>13</v>
      </c>
      <c r="BH20" s="37">
        <f t="shared" si="46"/>
        <v>39901</v>
      </c>
      <c r="BI20" s="38">
        <f>15000+(5608.85-45-50-25-100-228.85+6480.23+6413.75-527)</f>
        <v>32526.98</v>
      </c>
      <c r="BJ20" s="38">
        <v>3000</v>
      </c>
      <c r="BK20" s="38">
        <v>1000</v>
      </c>
      <c r="BL20" s="38"/>
      <c r="BM20" s="60">
        <v>1634</v>
      </c>
      <c r="BN20" s="59" t="s">
        <v>230</v>
      </c>
      <c r="BO20" s="3"/>
      <c r="BP20" s="3">
        <f t="shared" si="14"/>
        <v>19.906352509179925</v>
      </c>
      <c r="BQ20" s="3">
        <f t="shared" si="15"/>
        <v>1.8359853121175032</v>
      </c>
      <c r="BR20" s="3">
        <f t="shared" si="16"/>
        <v>0.61199510403916768</v>
      </c>
      <c r="BS20" s="3">
        <f t="shared" si="17"/>
        <v>22.354332925336596</v>
      </c>
      <c r="BU20" s="36">
        <f t="shared" si="47"/>
        <v>13</v>
      </c>
      <c r="BV20" s="37">
        <f t="shared" si="48"/>
        <v>40265</v>
      </c>
      <c r="BW20" s="38">
        <v>50000</v>
      </c>
      <c r="BX20" s="40">
        <v>0</v>
      </c>
      <c r="BY20" s="40">
        <v>1000</v>
      </c>
      <c r="BZ20" s="38"/>
      <c r="CA20" s="39">
        <v>2572</v>
      </c>
      <c r="CB20" s="65">
        <v>40265</v>
      </c>
      <c r="CC20" s="3"/>
      <c r="CD20" s="3">
        <f t="shared" si="18"/>
        <v>19.440124416796266</v>
      </c>
      <c r="CE20" s="3">
        <f t="shared" si="19"/>
        <v>0</v>
      </c>
      <c r="CF20" s="3">
        <f t="shared" si="20"/>
        <v>0.38880248833592534</v>
      </c>
      <c r="CG20" s="3">
        <f t="shared" si="21"/>
        <v>19.828926905132192</v>
      </c>
      <c r="CI20" s="36">
        <f t="shared" si="49"/>
        <v>13</v>
      </c>
      <c r="CJ20" s="37">
        <f t="shared" si="50"/>
        <v>40629</v>
      </c>
      <c r="CK20" s="40">
        <v>46000</v>
      </c>
      <c r="CL20" s="40">
        <v>0</v>
      </c>
      <c r="CM20" s="40">
        <v>1000</v>
      </c>
      <c r="CN20" s="38"/>
      <c r="CO20" s="39">
        <v>1624</v>
      </c>
      <c r="CP20" s="65">
        <v>40629</v>
      </c>
      <c r="CQ20" s="3"/>
      <c r="CR20" s="3">
        <f t="shared" si="22"/>
        <v>28.325123152709359</v>
      </c>
      <c r="CS20" s="3">
        <f t="shared" si="23"/>
        <v>0</v>
      </c>
      <c r="CT20" s="3">
        <f t="shared" si="24"/>
        <v>0.61576354679802958</v>
      </c>
      <c r="CU20" s="3">
        <f t="shared" si="25"/>
        <v>28.940886699507388</v>
      </c>
      <c r="CW20" s="36">
        <f t="shared" si="51"/>
        <v>13</v>
      </c>
      <c r="CX20" s="37">
        <f t="shared" si="52"/>
        <v>40993</v>
      </c>
      <c r="CY20" s="40">
        <v>43816</v>
      </c>
      <c r="CZ20" s="70">
        <v>2000</v>
      </c>
      <c r="DA20" s="70">
        <v>0</v>
      </c>
      <c r="DB20" s="70"/>
      <c r="DC20" s="71">
        <v>1850</v>
      </c>
      <c r="DD20" s="71">
        <f t="shared" si="36"/>
        <v>40993</v>
      </c>
      <c r="DE20" s="72"/>
      <c r="DF20" s="3">
        <f t="shared" si="26"/>
        <v>23.684324324324326</v>
      </c>
      <c r="DG20" s="3">
        <f t="shared" si="27"/>
        <v>1.0810810810810811</v>
      </c>
      <c r="DH20" s="3">
        <f t="shared" si="28"/>
        <v>0</v>
      </c>
      <c r="DI20" s="3">
        <f t="shared" si="29"/>
        <v>24.765405405405406</v>
      </c>
      <c r="DK20" s="36">
        <f t="shared" si="53"/>
        <v>13</v>
      </c>
      <c r="DL20" s="37">
        <f t="shared" si="54"/>
        <v>41364</v>
      </c>
      <c r="DM20" s="70">
        <v>44000</v>
      </c>
      <c r="DN20" s="70">
        <v>1000</v>
      </c>
      <c r="DO20" s="70">
        <v>0</v>
      </c>
      <c r="DP20" s="70"/>
      <c r="DQ20" s="71">
        <v>2192</v>
      </c>
      <c r="DR20" s="71">
        <f t="shared" si="37"/>
        <v>41364</v>
      </c>
      <c r="DS20" s="72"/>
      <c r="DT20" s="3">
        <f t="shared" si="30"/>
        <v>20.072992700729927</v>
      </c>
      <c r="DU20" s="3">
        <f t="shared" si="31"/>
        <v>0.45620437956204379</v>
      </c>
      <c r="DV20" s="3">
        <f t="shared" si="32"/>
        <v>0</v>
      </c>
      <c r="DW20" s="3">
        <f t="shared" si="33"/>
        <v>20.529197080291972</v>
      </c>
    </row>
    <row r="21" spans="3:127">
      <c r="C21" s="36">
        <v>14</v>
      </c>
      <c r="D21" s="37">
        <f t="shared" si="38"/>
        <v>38445</v>
      </c>
      <c r="E21" s="38">
        <v>34000</v>
      </c>
      <c r="F21" s="38">
        <v>3000</v>
      </c>
      <c r="G21" s="58"/>
      <c r="H21" s="39"/>
      <c r="I21" s="58">
        <v>1588</v>
      </c>
      <c r="J21" s="59" t="s">
        <v>23</v>
      </c>
      <c r="K21" s="3"/>
      <c r="L21" s="3">
        <f t="shared" si="0"/>
        <v>21.410579345088163</v>
      </c>
      <c r="M21" s="3">
        <f t="shared" si="34"/>
        <v>1.8891687657430731</v>
      </c>
      <c r="N21" s="3">
        <f t="shared" si="1"/>
        <v>0</v>
      </c>
      <c r="O21" s="3">
        <f t="shared" si="35"/>
        <v>23.299748110831235</v>
      </c>
      <c r="Q21" s="36">
        <f t="shared" si="39"/>
        <v>14</v>
      </c>
      <c r="R21" s="37">
        <f t="shared" si="40"/>
        <v>38809</v>
      </c>
      <c r="S21" s="38">
        <f>(4055.01+5813.41+7541.63)+(4055.01+5813.41+7541.63)</f>
        <v>34820.1</v>
      </c>
      <c r="T21" s="38">
        <v>3000</v>
      </c>
      <c r="U21" s="58"/>
      <c r="V21" s="39"/>
      <c r="W21" s="63">
        <v>2084</v>
      </c>
      <c r="X21" s="59" t="s">
        <v>75</v>
      </c>
      <c r="Y21" s="3"/>
      <c r="Z21" s="3">
        <f t="shared" si="2"/>
        <v>16.708301343570056</v>
      </c>
      <c r="AA21" s="3">
        <f t="shared" si="3"/>
        <v>1.4395393474088292</v>
      </c>
      <c r="AB21" s="3">
        <f t="shared" si="4"/>
        <v>0</v>
      </c>
      <c r="AC21" s="3">
        <f t="shared" si="5"/>
        <v>18.147840690978885</v>
      </c>
      <c r="AD21" s="3"/>
      <c r="AE21" s="36">
        <f t="shared" si="41"/>
        <v>14</v>
      </c>
      <c r="AF21" s="37">
        <f t="shared" si="42"/>
        <v>39180</v>
      </c>
      <c r="AG21" s="38">
        <v>40000</v>
      </c>
      <c r="AH21" s="38">
        <v>6000</v>
      </c>
      <c r="AI21" s="58"/>
      <c r="AJ21" s="39"/>
      <c r="AK21" s="60">
        <v>1194</v>
      </c>
      <c r="AL21" s="59" t="s">
        <v>127</v>
      </c>
      <c r="AM21" s="3"/>
      <c r="AN21" s="3">
        <f t="shared" si="6"/>
        <v>33.50083752093802</v>
      </c>
      <c r="AO21" s="3">
        <f t="shared" si="7"/>
        <v>5.025125628140704</v>
      </c>
      <c r="AP21" s="3">
        <f t="shared" si="8"/>
        <v>0</v>
      </c>
      <c r="AQ21" s="3">
        <f t="shared" si="9"/>
        <v>38.525963149078727</v>
      </c>
      <c r="AR21" s="3"/>
      <c r="AS21" s="36">
        <f t="shared" si="43"/>
        <v>14</v>
      </c>
      <c r="AT21" s="37">
        <f t="shared" si="44"/>
        <v>39544</v>
      </c>
      <c r="AU21" s="38">
        <f>(7265.52-25+9377.4+5643.35-101)+(7265.52-25+9377.4+5643.35-101)</f>
        <v>44320.539999999994</v>
      </c>
      <c r="AV21" s="38">
        <v>16000</v>
      </c>
      <c r="AW21" s="39"/>
      <c r="AX21" s="39"/>
      <c r="AY21" s="60">
        <v>1859</v>
      </c>
      <c r="AZ21" s="59" t="s">
        <v>179</v>
      </c>
      <c r="BA21" s="3"/>
      <c r="BB21" s="3">
        <f t="shared" si="10"/>
        <v>27.909659949622164</v>
      </c>
      <c r="BC21" s="3">
        <f t="shared" si="11"/>
        <v>10.075566750629722</v>
      </c>
      <c r="BD21" s="3">
        <f t="shared" si="12"/>
        <v>0</v>
      </c>
      <c r="BE21" s="3">
        <f t="shared" si="13"/>
        <v>37.985226700251886</v>
      </c>
      <c r="BG21" s="36">
        <f t="shared" si="45"/>
        <v>14</v>
      </c>
      <c r="BH21" s="37">
        <f t="shared" si="46"/>
        <v>39908</v>
      </c>
      <c r="BI21" s="38">
        <f>29000+(7265.52-25+9377.4+5643.35-101)</f>
        <v>51160.27</v>
      </c>
      <c r="BJ21" s="38">
        <v>6000</v>
      </c>
      <c r="BK21" s="38">
        <v>2000</v>
      </c>
      <c r="BL21" s="38"/>
      <c r="BM21" s="60">
        <v>1868</v>
      </c>
      <c r="BN21" s="59" t="s">
        <v>231</v>
      </c>
      <c r="BO21" s="3"/>
      <c r="BP21" s="3">
        <f t="shared" si="14"/>
        <v>27.387724839400427</v>
      </c>
      <c r="BQ21" s="3">
        <f t="shared" si="15"/>
        <v>3.2119914346895073</v>
      </c>
      <c r="BR21" s="3">
        <f t="shared" si="16"/>
        <v>1.0706638115631693</v>
      </c>
      <c r="BS21" s="3">
        <f t="shared" si="17"/>
        <v>31.670380085653104</v>
      </c>
      <c r="BU21" s="36">
        <f t="shared" si="47"/>
        <v>14</v>
      </c>
      <c r="BV21" s="37">
        <f t="shared" si="48"/>
        <v>40272</v>
      </c>
      <c r="BW21" s="38">
        <v>50000</v>
      </c>
      <c r="BX21" s="40">
        <v>2000</v>
      </c>
      <c r="BY21" s="40">
        <v>1000</v>
      </c>
      <c r="BZ21" s="38"/>
      <c r="CA21" s="39">
        <v>2573</v>
      </c>
      <c r="CB21" s="65">
        <v>40272</v>
      </c>
      <c r="CC21" s="3"/>
      <c r="CD21" s="3">
        <f t="shared" si="18"/>
        <v>19.432568985619898</v>
      </c>
      <c r="CE21" s="3">
        <f t="shared" si="19"/>
        <v>0.77730275942479599</v>
      </c>
      <c r="CF21" s="3">
        <f t="shared" si="20"/>
        <v>0.38865137971239799</v>
      </c>
      <c r="CG21" s="3">
        <f t="shared" si="21"/>
        <v>20.598523124757094</v>
      </c>
      <c r="CI21" s="36">
        <f t="shared" si="49"/>
        <v>14</v>
      </c>
      <c r="CJ21" s="37">
        <f t="shared" si="50"/>
        <v>40636</v>
      </c>
      <c r="CK21" s="40">
        <v>58000</v>
      </c>
      <c r="CL21" s="40">
        <v>1000</v>
      </c>
      <c r="CM21" s="40">
        <v>27000</v>
      </c>
      <c r="CN21" s="38"/>
      <c r="CO21" s="39">
        <v>1526</v>
      </c>
      <c r="CP21" s="65">
        <v>40636</v>
      </c>
      <c r="CQ21" s="3"/>
      <c r="CR21" s="3">
        <f t="shared" si="22"/>
        <v>38.00786369593709</v>
      </c>
      <c r="CS21" s="3">
        <f t="shared" si="23"/>
        <v>0.65530799475753609</v>
      </c>
      <c r="CT21" s="3">
        <f t="shared" si="24"/>
        <v>17.693315858453474</v>
      </c>
      <c r="CU21" s="3">
        <f t="shared" si="25"/>
        <v>56.356487549148099</v>
      </c>
      <c r="CW21" s="36">
        <f t="shared" si="51"/>
        <v>14</v>
      </c>
      <c r="CX21" s="37">
        <f t="shared" si="52"/>
        <v>41000</v>
      </c>
      <c r="CY21" s="40">
        <v>52732</v>
      </c>
      <c r="CZ21" s="70">
        <v>1000</v>
      </c>
      <c r="DA21" s="70">
        <v>0</v>
      </c>
      <c r="DB21" s="70"/>
      <c r="DC21" s="71">
        <v>2022</v>
      </c>
      <c r="DD21" s="71">
        <f t="shared" si="36"/>
        <v>41000</v>
      </c>
      <c r="DE21" s="72"/>
      <c r="DF21" s="3">
        <f t="shared" si="26"/>
        <v>26.079129574678536</v>
      </c>
      <c r="DG21" s="3">
        <f t="shared" si="27"/>
        <v>0.49455984174085066</v>
      </c>
      <c r="DH21" s="3">
        <f t="shared" si="28"/>
        <v>0</v>
      </c>
      <c r="DI21" s="3">
        <f t="shared" si="29"/>
        <v>26.573689416419388</v>
      </c>
      <c r="DK21" s="36">
        <f t="shared" si="53"/>
        <v>14</v>
      </c>
      <c r="DL21" s="37">
        <f t="shared" si="54"/>
        <v>41371</v>
      </c>
      <c r="DM21" s="70">
        <v>70000</v>
      </c>
      <c r="DN21" s="70">
        <v>0</v>
      </c>
      <c r="DO21" s="70">
        <v>0</v>
      </c>
      <c r="DP21" s="70"/>
      <c r="DQ21" s="71">
        <v>1642</v>
      </c>
      <c r="DR21" s="71">
        <f t="shared" si="37"/>
        <v>41371</v>
      </c>
      <c r="DS21" s="72"/>
      <c r="DT21" s="3">
        <f t="shared" si="30"/>
        <v>42.630937880633375</v>
      </c>
      <c r="DU21" s="3">
        <f t="shared" si="31"/>
        <v>0</v>
      </c>
      <c r="DV21" s="3">
        <f t="shared" si="32"/>
        <v>0</v>
      </c>
      <c r="DW21" s="3">
        <f t="shared" si="33"/>
        <v>42.630937880633375</v>
      </c>
    </row>
    <row r="22" spans="3:127">
      <c r="C22" s="36">
        <v>15</v>
      </c>
      <c r="D22" s="37">
        <f t="shared" si="38"/>
        <v>38452</v>
      </c>
      <c r="E22" s="38">
        <v>26000</v>
      </c>
      <c r="F22" s="38">
        <v>2000</v>
      </c>
      <c r="G22" s="58"/>
      <c r="H22" s="39"/>
      <c r="I22" s="58">
        <v>2540</v>
      </c>
      <c r="J22" s="59" t="s">
        <v>24</v>
      </c>
      <c r="K22" s="3"/>
      <c r="L22" s="3">
        <f t="shared" si="0"/>
        <v>10.236220472440944</v>
      </c>
      <c r="M22" s="3">
        <f t="shared" si="34"/>
        <v>0.78740157480314965</v>
      </c>
      <c r="N22" s="3">
        <f t="shared" si="1"/>
        <v>0</v>
      </c>
      <c r="O22" s="3">
        <f t="shared" si="35"/>
        <v>11.023622047244094</v>
      </c>
      <c r="Q22" s="36">
        <f t="shared" si="39"/>
        <v>15</v>
      </c>
      <c r="R22" s="37">
        <f t="shared" si="40"/>
        <v>38816</v>
      </c>
      <c r="S22" s="38">
        <f>(4048-500+3995.96+7653.33)+(4048-500+3995.96+7653.33)</f>
        <v>30394.58</v>
      </c>
      <c r="T22" s="38">
        <v>2000</v>
      </c>
      <c r="U22" s="58"/>
      <c r="V22" s="39"/>
      <c r="W22" s="63">
        <v>2436</v>
      </c>
      <c r="X22" s="59" t="s">
        <v>76</v>
      </c>
      <c r="Y22" s="3"/>
      <c r="Z22" s="3">
        <f t="shared" si="2"/>
        <v>12.47724958949097</v>
      </c>
      <c r="AA22" s="3">
        <f t="shared" si="3"/>
        <v>0.82101806239737274</v>
      </c>
      <c r="AB22" s="3">
        <f t="shared" si="4"/>
        <v>0</v>
      </c>
      <c r="AC22" s="3">
        <f t="shared" si="5"/>
        <v>13.298267651888343</v>
      </c>
      <c r="AD22" s="3"/>
      <c r="AE22" s="36">
        <f t="shared" si="41"/>
        <v>15</v>
      </c>
      <c r="AF22" s="37">
        <f t="shared" si="42"/>
        <v>39187</v>
      </c>
      <c r="AG22" s="38">
        <v>34000</v>
      </c>
      <c r="AH22" s="38">
        <v>9000</v>
      </c>
      <c r="AI22" s="58"/>
      <c r="AJ22" s="39"/>
      <c r="AK22" s="60">
        <v>988</v>
      </c>
      <c r="AL22" s="59" t="s">
        <v>128</v>
      </c>
      <c r="AM22" s="3"/>
      <c r="AN22" s="3">
        <f t="shared" si="6"/>
        <v>34.412955465587046</v>
      </c>
      <c r="AO22" s="3">
        <f t="shared" si="7"/>
        <v>9.1093117408906874</v>
      </c>
      <c r="AP22" s="3">
        <f t="shared" si="8"/>
        <v>0</v>
      </c>
      <c r="AQ22" s="3">
        <f t="shared" si="9"/>
        <v>43.522267206477736</v>
      </c>
      <c r="AR22" s="3"/>
      <c r="AS22" s="36">
        <f t="shared" si="43"/>
        <v>15</v>
      </c>
      <c r="AT22" s="37">
        <f t="shared" si="44"/>
        <v>39551</v>
      </c>
      <c r="AU22" s="38">
        <f>(6447-300-25+8449+4102-390-50)+(6447-300-25+8449+4102-390-50)</f>
        <v>36466</v>
      </c>
      <c r="AV22" s="38">
        <v>8000</v>
      </c>
      <c r="AW22" s="39"/>
      <c r="AX22" s="39"/>
      <c r="AY22" s="60">
        <v>1639</v>
      </c>
      <c r="AZ22" s="59" t="s">
        <v>180</v>
      </c>
      <c r="BA22" s="3"/>
      <c r="BB22" s="3">
        <f t="shared" si="10"/>
        <v>14.356692913385826</v>
      </c>
      <c r="BC22" s="3">
        <f t="shared" si="11"/>
        <v>3.1496062992125986</v>
      </c>
      <c r="BD22" s="3">
        <f t="shared" si="12"/>
        <v>0</v>
      </c>
      <c r="BE22" s="3">
        <f t="shared" si="13"/>
        <v>17.506299212598424</v>
      </c>
      <c r="BG22" s="36">
        <f t="shared" si="45"/>
        <v>15</v>
      </c>
      <c r="BH22" s="37">
        <f t="shared" si="46"/>
        <v>39915</v>
      </c>
      <c r="BI22" s="38">
        <f>17000+(6447-300-25+8449+4102-390-50)</f>
        <v>35233</v>
      </c>
      <c r="BJ22" s="38">
        <v>6000</v>
      </c>
      <c r="BK22" s="38">
        <v>0</v>
      </c>
      <c r="BL22" s="38"/>
      <c r="BM22" s="60">
        <v>1886</v>
      </c>
      <c r="BN22" s="59" t="s">
        <v>232</v>
      </c>
      <c r="BO22" s="3"/>
      <c r="BP22" s="3">
        <f t="shared" si="14"/>
        <v>18.681336161187698</v>
      </c>
      <c r="BQ22" s="3">
        <f t="shared" si="15"/>
        <v>3.1813361611876987</v>
      </c>
      <c r="BR22" s="3">
        <f t="shared" si="16"/>
        <v>0</v>
      </c>
      <c r="BS22" s="3">
        <f t="shared" si="17"/>
        <v>21.862672322375396</v>
      </c>
      <c r="BU22" s="36">
        <f t="shared" si="47"/>
        <v>15</v>
      </c>
      <c r="BV22" s="37">
        <f t="shared" si="48"/>
        <v>40279</v>
      </c>
      <c r="BW22" s="38">
        <v>50000</v>
      </c>
      <c r="BX22" s="40">
        <v>1000</v>
      </c>
      <c r="BY22" s="40">
        <v>1000</v>
      </c>
      <c r="BZ22" s="38"/>
      <c r="CA22" s="39">
        <v>2388</v>
      </c>
      <c r="CB22" s="65">
        <v>40279</v>
      </c>
      <c r="CC22" s="3"/>
      <c r="CD22" s="3">
        <f t="shared" si="18"/>
        <v>20.938023450586265</v>
      </c>
      <c r="CE22" s="3">
        <f t="shared" si="19"/>
        <v>0.41876046901172531</v>
      </c>
      <c r="CF22" s="3">
        <f t="shared" si="20"/>
        <v>0.41876046901172531</v>
      </c>
      <c r="CG22" s="3">
        <f t="shared" si="21"/>
        <v>21.775544388609717</v>
      </c>
      <c r="CI22" s="36">
        <f t="shared" si="49"/>
        <v>15</v>
      </c>
      <c r="CJ22" s="37">
        <f t="shared" si="50"/>
        <v>40643</v>
      </c>
      <c r="CK22" s="40">
        <v>54000</v>
      </c>
      <c r="CL22" s="40">
        <v>0</v>
      </c>
      <c r="CM22" s="40">
        <v>18000</v>
      </c>
      <c r="CN22" s="38"/>
      <c r="CO22" s="39">
        <v>1672</v>
      </c>
      <c r="CP22" s="65">
        <v>40643</v>
      </c>
      <c r="CQ22" s="3"/>
      <c r="CR22" s="3">
        <f t="shared" si="22"/>
        <v>32.296650717703351</v>
      </c>
      <c r="CS22" s="3">
        <f t="shared" si="23"/>
        <v>0</v>
      </c>
      <c r="CT22" s="3">
        <f t="shared" si="24"/>
        <v>10.76555023923445</v>
      </c>
      <c r="CU22" s="3">
        <f t="shared" si="25"/>
        <v>43.062200956937801</v>
      </c>
      <c r="CW22" s="36">
        <f t="shared" si="51"/>
        <v>15</v>
      </c>
      <c r="CX22" s="37">
        <f t="shared" si="52"/>
        <v>41007</v>
      </c>
      <c r="CY22" s="40">
        <v>63613</v>
      </c>
      <c r="CZ22" s="70">
        <v>1000</v>
      </c>
      <c r="DA22" s="70">
        <v>0</v>
      </c>
      <c r="DB22" s="70"/>
      <c r="DC22" s="71">
        <v>2160</v>
      </c>
      <c r="DD22" s="71">
        <f t="shared" si="36"/>
        <v>41007</v>
      </c>
      <c r="DE22" s="72"/>
      <c r="DF22" s="3">
        <f t="shared" si="26"/>
        <v>29.450462962962963</v>
      </c>
      <c r="DG22" s="3">
        <f t="shared" si="27"/>
        <v>0.46296296296296297</v>
      </c>
      <c r="DH22" s="3">
        <f t="shared" si="28"/>
        <v>0</v>
      </c>
      <c r="DI22" s="3">
        <f t="shared" si="29"/>
        <v>29.913425925925925</v>
      </c>
      <c r="DK22" s="36">
        <f t="shared" si="53"/>
        <v>15</v>
      </c>
      <c r="DL22" s="37">
        <f t="shared" si="54"/>
        <v>41378</v>
      </c>
      <c r="DM22" s="70">
        <v>70000</v>
      </c>
      <c r="DN22" s="70">
        <v>2000</v>
      </c>
      <c r="DO22" s="70">
        <v>0</v>
      </c>
      <c r="DP22" s="70"/>
      <c r="DQ22" s="71">
        <v>2066</v>
      </c>
      <c r="DR22" s="71">
        <f t="shared" si="37"/>
        <v>41378</v>
      </c>
      <c r="DS22" s="72"/>
      <c r="DT22" s="3">
        <f t="shared" si="30"/>
        <v>33.881897386253627</v>
      </c>
      <c r="DU22" s="3">
        <f t="shared" si="31"/>
        <v>0.96805421103581801</v>
      </c>
      <c r="DV22" s="3">
        <f t="shared" si="32"/>
        <v>0</v>
      </c>
      <c r="DW22" s="3">
        <f t="shared" si="33"/>
        <v>34.849951597289447</v>
      </c>
    </row>
    <row r="23" spans="3:127">
      <c r="C23" s="36">
        <v>16</v>
      </c>
      <c r="D23" s="37">
        <f t="shared" si="38"/>
        <v>38459</v>
      </c>
      <c r="E23" s="38">
        <v>60000</v>
      </c>
      <c r="F23" s="38">
        <v>2000</v>
      </c>
      <c r="G23" s="58"/>
      <c r="H23" s="39"/>
      <c r="I23" s="58">
        <v>2424</v>
      </c>
      <c r="J23" s="59" t="s">
        <v>25</v>
      </c>
      <c r="K23" s="3"/>
      <c r="L23" s="3">
        <f t="shared" si="0"/>
        <v>24.752475247524753</v>
      </c>
      <c r="M23" s="3">
        <f t="shared" si="34"/>
        <v>0.82508250825082508</v>
      </c>
      <c r="N23" s="3">
        <f t="shared" si="1"/>
        <v>0</v>
      </c>
      <c r="O23" s="3">
        <f t="shared" si="35"/>
        <v>25.57755775577558</v>
      </c>
      <c r="Q23" s="36">
        <f t="shared" si="39"/>
        <v>16</v>
      </c>
      <c r="R23" s="37">
        <f t="shared" si="40"/>
        <v>38823</v>
      </c>
      <c r="S23" s="38">
        <f>(6443.87-40-48-13+6159.73-10-2)+(6443.87-40-48-13+6159.73-10-2)</f>
        <v>24981.199999999997</v>
      </c>
      <c r="T23" s="38">
        <v>4000</v>
      </c>
      <c r="U23" s="58"/>
      <c r="V23" s="39"/>
      <c r="W23" s="63">
        <v>2308</v>
      </c>
      <c r="X23" s="59" t="s">
        <v>77</v>
      </c>
      <c r="Y23" s="3"/>
      <c r="Z23" s="3">
        <f t="shared" si="2"/>
        <v>10.82374350086655</v>
      </c>
      <c r="AA23" s="3">
        <f t="shared" si="3"/>
        <v>1.733102253032929</v>
      </c>
      <c r="AB23" s="3">
        <f t="shared" si="4"/>
        <v>0</v>
      </c>
      <c r="AC23" s="3">
        <f t="shared" si="5"/>
        <v>12.556845753899479</v>
      </c>
      <c r="AD23" s="3"/>
      <c r="AE23" s="36">
        <f t="shared" si="41"/>
        <v>16</v>
      </c>
      <c r="AF23" s="37">
        <f t="shared" si="42"/>
        <v>39194</v>
      </c>
      <c r="AG23" s="38">
        <v>28000</v>
      </c>
      <c r="AH23" s="38">
        <v>9000</v>
      </c>
      <c r="AI23" s="58"/>
      <c r="AJ23" s="39"/>
      <c r="AK23" s="60">
        <v>1160</v>
      </c>
      <c r="AL23" s="59" t="s">
        <v>129</v>
      </c>
      <c r="AM23" s="3"/>
      <c r="AN23" s="3">
        <f t="shared" si="6"/>
        <v>24.137931034482758</v>
      </c>
      <c r="AO23" s="3">
        <f t="shared" si="7"/>
        <v>7.7586206896551726</v>
      </c>
      <c r="AP23" s="3">
        <f t="shared" si="8"/>
        <v>0</v>
      </c>
      <c r="AQ23" s="3">
        <f t="shared" si="9"/>
        <v>31.896551724137929</v>
      </c>
      <c r="AR23" s="3"/>
      <c r="AS23" s="36">
        <f t="shared" si="43"/>
        <v>16</v>
      </c>
      <c r="AT23" s="37">
        <f t="shared" si="44"/>
        <v>39558</v>
      </c>
      <c r="AU23" s="38">
        <f>(8617.32-150+8170.75+5903)+(8617.32-150+8170.75+5903)</f>
        <v>45082.14</v>
      </c>
      <c r="AV23" s="38">
        <v>6000</v>
      </c>
      <c r="AW23" s="39"/>
      <c r="AX23" s="39"/>
      <c r="AY23" s="60">
        <v>1783</v>
      </c>
      <c r="AZ23" s="59" t="s">
        <v>181</v>
      </c>
      <c r="BA23" s="3"/>
      <c r="BB23" s="3">
        <f t="shared" si="10"/>
        <v>18.598242574257426</v>
      </c>
      <c r="BC23" s="3">
        <f t="shared" si="11"/>
        <v>2.4752475247524752</v>
      </c>
      <c r="BD23" s="3">
        <f t="shared" si="12"/>
        <v>0</v>
      </c>
      <c r="BE23" s="3">
        <f t="shared" si="13"/>
        <v>21.073490099009902</v>
      </c>
      <c r="BG23" s="36">
        <f t="shared" si="45"/>
        <v>16</v>
      </c>
      <c r="BH23" s="37">
        <f t="shared" si="46"/>
        <v>39922</v>
      </c>
      <c r="BI23" s="38">
        <f>20000+(8617.32-150+8170.75+5903)</f>
        <v>42541.07</v>
      </c>
      <c r="BJ23" s="38">
        <v>3000</v>
      </c>
      <c r="BK23" s="38">
        <v>2000</v>
      </c>
      <c r="BL23" s="38"/>
      <c r="BM23" s="60">
        <v>1328</v>
      </c>
      <c r="BN23" s="59" t="s">
        <v>233</v>
      </c>
      <c r="BO23" s="3"/>
      <c r="BP23" s="3">
        <f t="shared" si="14"/>
        <v>32.033938253012046</v>
      </c>
      <c r="BQ23" s="3">
        <f t="shared" si="15"/>
        <v>2.2590361445783134</v>
      </c>
      <c r="BR23" s="3">
        <f t="shared" si="16"/>
        <v>1.5060240963855422</v>
      </c>
      <c r="BS23" s="3">
        <f t="shared" si="17"/>
        <v>35.798998493975901</v>
      </c>
      <c r="BU23" s="36">
        <f t="shared" si="47"/>
        <v>16</v>
      </c>
      <c r="BV23" s="37">
        <f t="shared" si="48"/>
        <v>40286</v>
      </c>
      <c r="BW23" s="38">
        <v>60000</v>
      </c>
      <c r="BX23" s="40">
        <v>1000</v>
      </c>
      <c r="BY23" s="40">
        <v>1000</v>
      </c>
      <c r="BZ23" s="38"/>
      <c r="CA23" s="39">
        <v>2506</v>
      </c>
      <c r="CB23" s="65">
        <v>40286</v>
      </c>
      <c r="CC23" s="3"/>
      <c r="CD23" s="3">
        <f t="shared" si="18"/>
        <v>23.942537909018355</v>
      </c>
      <c r="CE23" s="3">
        <f t="shared" si="19"/>
        <v>0.39904229848363926</v>
      </c>
      <c r="CF23" s="3">
        <f t="shared" si="20"/>
        <v>0.39904229848363926</v>
      </c>
      <c r="CG23" s="3">
        <f t="shared" si="21"/>
        <v>24.740622505985634</v>
      </c>
      <c r="CI23" s="36">
        <f t="shared" si="49"/>
        <v>16</v>
      </c>
      <c r="CJ23" s="37">
        <f t="shared" si="50"/>
        <v>40650</v>
      </c>
      <c r="CK23" s="40">
        <v>54000</v>
      </c>
      <c r="CL23" s="40">
        <v>1000</v>
      </c>
      <c r="CM23" s="40">
        <v>8000</v>
      </c>
      <c r="CN23" s="38"/>
      <c r="CO23" s="39">
        <v>1636</v>
      </c>
      <c r="CP23" s="65">
        <v>40650</v>
      </c>
      <c r="CQ23" s="3"/>
      <c r="CR23" s="3">
        <f t="shared" si="22"/>
        <v>33.007334963325185</v>
      </c>
      <c r="CS23" s="3">
        <f t="shared" si="23"/>
        <v>0.61124694376528121</v>
      </c>
      <c r="CT23" s="3">
        <f t="shared" si="24"/>
        <v>4.8899755501222497</v>
      </c>
      <c r="CU23" s="3">
        <f t="shared" si="25"/>
        <v>38.508557457212717</v>
      </c>
      <c r="CW23" s="36">
        <f t="shared" si="51"/>
        <v>16</v>
      </c>
      <c r="CX23" s="37">
        <f t="shared" si="52"/>
        <v>41014</v>
      </c>
      <c r="CY23" s="40">
        <v>54814</v>
      </c>
      <c r="CZ23" s="70">
        <v>1000</v>
      </c>
      <c r="DA23" s="70">
        <v>0</v>
      </c>
      <c r="DB23" s="70"/>
      <c r="DC23" s="71">
        <v>1606</v>
      </c>
      <c r="DD23" s="71">
        <f t="shared" si="36"/>
        <v>41014</v>
      </c>
      <c r="DE23" s="72"/>
      <c r="DF23" s="3">
        <f t="shared" si="26"/>
        <v>34.130759651307599</v>
      </c>
      <c r="DG23" s="3">
        <f t="shared" si="27"/>
        <v>0.62266500622665011</v>
      </c>
      <c r="DH23" s="3">
        <f t="shared" si="28"/>
        <v>0</v>
      </c>
      <c r="DI23" s="3">
        <f t="shared" si="29"/>
        <v>34.753424657534246</v>
      </c>
      <c r="DK23" s="36">
        <f t="shared" si="53"/>
        <v>16</v>
      </c>
      <c r="DL23" s="37">
        <f t="shared" si="54"/>
        <v>41385</v>
      </c>
      <c r="DM23" s="70">
        <v>68000</v>
      </c>
      <c r="DN23" s="70">
        <v>1000</v>
      </c>
      <c r="DO23" s="70">
        <v>0</v>
      </c>
      <c r="DP23" s="70"/>
      <c r="DQ23" s="71">
        <v>1840</v>
      </c>
      <c r="DR23" s="71">
        <f t="shared" si="37"/>
        <v>41385</v>
      </c>
      <c r="DS23" s="72"/>
      <c r="DT23" s="3">
        <f t="shared" si="30"/>
        <v>36.956521739130437</v>
      </c>
      <c r="DU23" s="3">
        <f t="shared" si="31"/>
        <v>0.54347826086956519</v>
      </c>
      <c r="DV23" s="3">
        <f t="shared" si="32"/>
        <v>0</v>
      </c>
      <c r="DW23" s="3">
        <f t="shared" si="33"/>
        <v>37.5</v>
      </c>
    </row>
    <row r="24" spans="3:127">
      <c r="C24" s="36">
        <v>17</v>
      </c>
      <c r="D24" s="37">
        <f t="shared" si="38"/>
        <v>38466</v>
      </c>
      <c r="E24" s="38">
        <v>29000</v>
      </c>
      <c r="F24" s="38">
        <v>2000</v>
      </c>
      <c r="G24" s="58"/>
      <c r="H24" s="39"/>
      <c r="I24" s="58">
        <v>2320</v>
      </c>
      <c r="J24" s="59" t="s">
        <v>26</v>
      </c>
      <c r="K24" s="3"/>
      <c r="L24" s="3">
        <f t="shared" si="0"/>
        <v>12.5</v>
      </c>
      <c r="M24" s="3">
        <f t="shared" si="34"/>
        <v>0.86206896551724133</v>
      </c>
      <c r="N24" s="3">
        <f t="shared" si="1"/>
        <v>0</v>
      </c>
      <c r="O24" s="3">
        <f t="shared" si="35"/>
        <v>13.362068965517242</v>
      </c>
      <c r="Q24" s="36">
        <f t="shared" si="39"/>
        <v>17</v>
      </c>
      <c r="R24" s="37">
        <f t="shared" si="40"/>
        <v>38830</v>
      </c>
      <c r="S24" s="38">
        <f>(2704+8710+15223.34-8-10000)+(2704+8710+15223.34-8-10000)</f>
        <v>33258.68</v>
      </c>
      <c r="T24" s="38">
        <v>2000</v>
      </c>
      <c r="U24" s="58"/>
      <c r="V24" s="39"/>
      <c r="W24" s="63">
        <v>1724</v>
      </c>
      <c r="X24" s="59" t="s">
        <v>78</v>
      </c>
      <c r="Y24" s="3"/>
      <c r="Z24" s="3">
        <f t="shared" si="2"/>
        <v>19.291577726218097</v>
      </c>
      <c r="AA24" s="3">
        <f t="shared" si="3"/>
        <v>1.160092807424594</v>
      </c>
      <c r="AB24" s="3">
        <f t="shared" si="4"/>
        <v>0</v>
      </c>
      <c r="AC24" s="3">
        <f t="shared" si="5"/>
        <v>20.451670533642691</v>
      </c>
      <c r="AD24" s="3"/>
      <c r="AE24" s="36">
        <f t="shared" si="41"/>
        <v>17</v>
      </c>
      <c r="AF24" s="37">
        <f t="shared" si="42"/>
        <v>39201</v>
      </c>
      <c r="AG24" s="38">
        <v>28000</v>
      </c>
      <c r="AH24" s="38">
        <v>5000</v>
      </c>
      <c r="AI24" s="58"/>
      <c r="AJ24" s="39"/>
      <c r="AK24" s="60">
        <v>1182</v>
      </c>
      <c r="AL24" s="59" t="s">
        <v>130</v>
      </c>
      <c r="AM24" s="3"/>
      <c r="AN24" s="3">
        <f t="shared" si="6"/>
        <v>23.688663282571913</v>
      </c>
      <c r="AO24" s="3">
        <f t="shared" si="7"/>
        <v>4.230118443316413</v>
      </c>
      <c r="AP24" s="3">
        <f t="shared" si="8"/>
        <v>0</v>
      </c>
      <c r="AQ24" s="3">
        <f t="shared" si="9"/>
        <v>27.918781725888326</v>
      </c>
      <c r="AR24" s="3"/>
      <c r="AS24" s="36">
        <f t="shared" si="43"/>
        <v>17</v>
      </c>
      <c r="AT24" s="37">
        <f t="shared" si="44"/>
        <v>39565</v>
      </c>
      <c r="AU24" s="38">
        <f>(4798.2-163-24-75-10+8743+2014)+(4798.2-163-24-75-10+8743+2014)</f>
        <v>30566.400000000001</v>
      </c>
      <c r="AV24" s="38">
        <v>7000</v>
      </c>
      <c r="AW24" s="39"/>
      <c r="AX24" s="39"/>
      <c r="AY24" s="60">
        <v>1824</v>
      </c>
      <c r="AZ24" s="59" t="s">
        <v>182</v>
      </c>
      <c r="BA24" s="3"/>
      <c r="BB24" s="3">
        <f t="shared" si="10"/>
        <v>13.175172413793105</v>
      </c>
      <c r="BC24" s="3">
        <f t="shared" si="11"/>
        <v>3.0172413793103448</v>
      </c>
      <c r="BD24" s="3">
        <f t="shared" si="12"/>
        <v>0</v>
      </c>
      <c r="BE24" s="3">
        <f t="shared" si="13"/>
        <v>16.192413793103448</v>
      </c>
      <c r="BG24" s="36">
        <f t="shared" si="45"/>
        <v>17</v>
      </c>
      <c r="BH24" s="37">
        <f t="shared" si="46"/>
        <v>39929</v>
      </c>
      <c r="BI24" s="38">
        <f>18000+(4798.2-163-24-75-10+8743+2014)</f>
        <v>33283.199999999997</v>
      </c>
      <c r="BJ24" s="38">
        <v>4000</v>
      </c>
      <c r="BK24" s="38">
        <v>3000</v>
      </c>
      <c r="BL24" s="38"/>
      <c r="BM24" s="60">
        <v>1700</v>
      </c>
      <c r="BN24" s="59" t="s">
        <v>234</v>
      </c>
      <c r="BO24" s="3"/>
      <c r="BP24" s="3">
        <f t="shared" si="14"/>
        <v>19.578352941176469</v>
      </c>
      <c r="BQ24" s="3">
        <f t="shared" si="15"/>
        <v>2.3529411764705883</v>
      </c>
      <c r="BR24" s="3">
        <f t="shared" si="16"/>
        <v>1.7647058823529411</v>
      </c>
      <c r="BS24" s="3">
        <f t="shared" si="17"/>
        <v>23.695999999999998</v>
      </c>
      <c r="BU24" s="36">
        <f t="shared" si="47"/>
        <v>17</v>
      </c>
      <c r="BV24" s="37">
        <f t="shared" si="48"/>
        <v>40293</v>
      </c>
      <c r="BW24" s="38">
        <v>55000</v>
      </c>
      <c r="BX24" s="40">
        <v>2000</v>
      </c>
      <c r="BY24" s="40">
        <v>1000</v>
      </c>
      <c r="BZ24" s="38"/>
      <c r="CA24" s="39">
        <v>2947</v>
      </c>
      <c r="CB24" s="65">
        <v>40293</v>
      </c>
      <c r="CC24" s="3"/>
      <c r="CD24" s="3">
        <f t="shared" si="18"/>
        <v>18.663047166610113</v>
      </c>
      <c r="CE24" s="3">
        <f t="shared" si="19"/>
        <v>0.67865626060400408</v>
      </c>
      <c r="CF24" s="3">
        <f t="shared" si="20"/>
        <v>0.33932813030200204</v>
      </c>
      <c r="CG24" s="3">
        <f t="shared" si="21"/>
        <v>19.681031557516118</v>
      </c>
      <c r="CI24" s="36">
        <f t="shared" si="49"/>
        <v>17</v>
      </c>
      <c r="CJ24" s="37">
        <f t="shared" si="50"/>
        <v>40657</v>
      </c>
      <c r="CK24" s="40">
        <v>38000</v>
      </c>
      <c r="CL24" s="40">
        <v>0</v>
      </c>
      <c r="CM24" s="40">
        <v>14000</v>
      </c>
      <c r="CN24" s="38"/>
      <c r="CO24" s="39">
        <v>2082</v>
      </c>
      <c r="CP24" s="65">
        <v>40657</v>
      </c>
      <c r="CQ24" s="3"/>
      <c r="CR24" s="3">
        <f t="shared" si="22"/>
        <v>18.25168107588857</v>
      </c>
      <c r="CS24" s="3">
        <f t="shared" si="23"/>
        <v>0</v>
      </c>
      <c r="CT24" s="3">
        <f t="shared" si="24"/>
        <v>6.7243035542747362</v>
      </c>
      <c r="CU24" s="3">
        <f t="shared" si="25"/>
        <v>24.975984630163307</v>
      </c>
      <c r="CW24" s="36">
        <f t="shared" si="51"/>
        <v>17</v>
      </c>
      <c r="CX24" s="37">
        <f t="shared" si="52"/>
        <v>41021</v>
      </c>
      <c r="CY24" s="40">
        <v>42823</v>
      </c>
      <c r="CZ24" s="73">
        <v>1000</v>
      </c>
      <c r="DA24" s="70">
        <v>0</v>
      </c>
      <c r="DB24" s="70"/>
      <c r="DC24" s="71">
        <v>1892</v>
      </c>
      <c r="DD24" s="71">
        <f t="shared" si="36"/>
        <v>41021</v>
      </c>
      <c r="DE24" s="72"/>
      <c r="DF24" s="3">
        <f t="shared" si="26"/>
        <v>22.63372093023256</v>
      </c>
      <c r="DG24" s="3">
        <f t="shared" si="27"/>
        <v>0.52854122621564481</v>
      </c>
      <c r="DH24" s="3">
        <f t="shared" si="28"/>
        <v>0</v>
      </c>
      <c r="DI24" s="3">
        <f t="shared" si="29"/>
        <v>23.162262156448204</v>
      </c>
      <c r="DK24" s="36">
        <f t="shared" si="53"/>
        <v>17</v>
      </c>
      <c r="DL24" s="37">
        <f t="shared" si="54"/>
        <v>41392</v>
      </c>
      <c r="DM24" s="73">
        <v>44000</v>
      </c>
      <c r="DN24" s="73">
        <v>0</v>
      </c>
      <c r="DO24" s="70">
        <v>0</v>
      </c>
      <c r="DP24" s="70"/>
      <c r="DQ24" s="71">
        <v>1786</v>
      </c>
      <c r="DR24" s="71">
        <f t="shared" si="37"/>
        <v>41392</v>
      </c>
      <c r="DS24" s="72"/>
      <c r="DT24" s="3">
        <f t="shared" si="30"/>
        <v>24.636058230683091</v>
      </c>
      <c r="DU24" s="3">
        <f t="shared" si="31"/>
        <v>0</v>
      </c>
      <c r="DV24" s="3">
        <f t="shared" si="32"/>
        <v>0</v>
      </c>
      <c r="DW24" s="3">
        <f t="shared" si="33"/>
        <v>24.636058230683091</v>
      </c>
    </row>
    <row r="25" spans="3:127">
      <c r="C25" s="36">
        <v>18</v>
      </c>
      <c r="D25" s="37">
        <f t="shared" si="38"/>
        <v>38473</v>
      </c>
      <c r="E25" s="38">
        <v>42000</v>
      </c>
      <c r="F25" s="38">
        <v>5000</v>
      </c>
      <c r="G25" s="58"/>
      <c r="H25" s="39"/>
      <c r="I25" s="58">
        <v>2348</v>
      </c>
      <c r="J25" s="59" t="s">
        <v>27</v>
      </c>
      <c r="K25" s="3"/>
      <c r="L25" s="3">
        <f t="shared" si="0"/>
        <v>17.88756388415673</v>
      </c>
      <c r="M25" s="3">
        <f t="shared" si="34"/>
        <v>2.1294718909710393</v>
      </c>
      <c r="N25" s="3">
        <f t="shared" si="1"/>
        <v>0</v>
      </c>
      <c r="O25" s="3">
        <f t="shared" si="35"/>
        <v>20.01703577512777</v>
      </c>
      <c r="Q25" s="36">
        <f t="shared" si="39"/>
        <v>18</v>
      </c>
      <c r="R25" s="37">
        <f t="shared" si="40"/>
        <v>38837</v>
      </c>
      <c r="S25" s="38">
        <f>(6958+11671.45+5308-46)+(6958+11671.45+5308-46)</f>
        <v>47782.9</v>
      </c>
      <c r="T25" s="38">
        <v>6000</v>
      </c>
      <c r="U25" s="58"/>
      <c r="V25" s="39"/>
      <c r="W25" s="63">
        <v>2132</v>
      </c>
      <c r="X25" s="59" t="s">
        <v>79</v>
      </c>
      <c r="Y25" s="3"/>
      <c r="Z25" s="3">
        <f t="shared" si="2"/>
        <v>22.412242026266416</v>
      </c>
      <c r="AA25" s="3">
        <f t="shared" si="3"/>
        <v>2.8142589118198873</v>
      </c>
      <c r="AB25" s="3">
        <f t="shared" si="4"/>
        <v>0</v>
      </c>
      <c r="AC25" s="3">
        <f t="shared" si="5"/>
        <v>25.226500938086303</v>
      </c>
      <c r="AD25" s="3"/>
      <c r="AE25" s="36">
        <f t="shared" si="41"/>
        <v>18</v>
      </c>
      <c r="AF25" s="37">
        <f t="shared" si="42"/>
        <v>39208</v>
      </c>
      <c r="AG25" s="38">
        <v>26000</v>
      </c>
      <c r="AH25" s="38">
        <v>3000</v>
      </c>
      <c r="AI25" s="58"/>
      <c r="AJ25" s="39"/>
      <c r="AK25" s="60">
        <v>1126</v>
      </c>
      <c r="AL25" s="59" t="s">
        <v>131</v>
      </c>
      <c r="AM25" s="3"/>
      <c r="AN25" s="3">
        <f t="shared" si="6"/>
        <v>23.090586145648313</v>
      </c>
      <c r="AO25" s="3">
        <f t="shared" si="7"/>
        <v>2.6642984014209592</v>
      </c>
      <c r="AP25" s="3">
        <f t="shared" si="8"/>
        <v>0</v>
      </c>
      <c r="AQ25" s="3">
        <f t="shared" si="9"/>
        <v>25.754884547069274</v>
      </c>
      <c r="AR25" s="3"/>
      <c r="AS25" s="36">
        <f t="shared" si="43"/>
        <v>18</v>
      </c>
      <c r="AT25" s="37">
        <f t="shared" si="44"/>
        <v>39572</v>
      </c>
      <c r="AU25" s="38">
        <f>(6237.55-107-25+10313.47-92+7121-246+710-250)+(6237.55-107-25+10313.47-92+7121-246+710-250)</f>
        <v>47324.04</v>
      </c>
      <c r="AV25" s="38">
        <v>8000</v>
      </c>
      <c r="AW25" s="39"/>
      <c r="AX25" s="39"/>
      <c r="AY25" s="60">
        <v>1736</v>
      </c>
      <c r="AZ25" s="59" t="s">
        <v>183</v>
      </c>
      <c r="BA25" s="3"/>
      <c r="BB25" s="3">
        <f t="shared" si="10"/>
        <v>20.155042589437819</v>
      </c>
      <c r="BC25" s="3">
        <f t="shared" si="11"/>
        <v>3.4071550255536627</v>
      </c>
      <c r="BD25" s="3">
        <f t="shared" si="12"/>
        <v>0</v>
      </c>
      <c r="BE25" s="3">
        <f t="shared" si="13"/>
        <v>23.562197614991483</v>
      </c>
      <c r="BG25" s="36">
        <f t="shared" si="45"/>
        <v>18</v>
      </c>
      <c r="BH25" s="37">
        <f t="shared" si="46"/>
        <v>39936</v>
      </c>
      <c r="BI25" s="38">
        <f>28000+(6237.55-107-25+10313.47-92+7121-246+710-250)</f>
        <v>51662.020000000004</v>
      </c>
      <c r="BJ25" s="38">
        <v>6000</v>
      </c>
      <c r="BK25" s="38">
        <v>1000</v>
      </c>
      <c r="BL25" s="38"/>
      <c r="BM25" s="60">
        <v>1694</v>
      </c>
      <c r="BN25" s="59" t="s">
        <v>235</v>
      </c>
      <c r="BO25" s="3"/>
      <c r="BP25" s="3">
        <f t="shared" si="14"/>
        <v>30.497060212514761</v>
      </c>
      <c r="BQ25" s="3">
        <f t="shared" si="15"/>
        <v>3.5419126328217239</v>
      </c>
      <c r="BR25" s="3">
        <f t="shared" si="16"/>
        <v>0.59031877213695394</v>
      </c>
      <c r="BS25" s="3">
        <f t="shared" si="17"/>
        <v>34.629291617473442</v>
      </c>
      <c r="BU25" s="36">
        <f t="shared" si="47"/>
        <v>18</v>
      </c>
      <c r="BV25" s="37">
        <f t="shared" si="48"/>
        <v>40300</v>
      </c>
      <c r="BW25" s="38">
        <f>19000+((6362.53+6663.75+6499.14)+(6362.53+6663.75+6499.14))</f>
        <v>58050.84</v>
      </c>
      <c r="BX25" s="40">
        <v>3000</v>
      </c>
      <c r="BY25" s="40">
        <v>1000</v>
      </c>
      <c r="BZ25" s="38"/>
      <c r="CA25" s="39">
        <v>2289</v>
      </c>
      <c r="CB25" s="65">
        <v>40300</v>
      </c>
      <c r="CC25" s="3"/>
      <c r="CD25" s="3">
        <f t="shared" si="18"/>
        <v>25.360786369593708</v>
      </c>
      <c r="CE25" s="3">
        <f t="shared" si="19"/>
        <v>1.3106159895150722</v>
      </c>
      <c r="CF25" s="3">
        <f t="shared" si="20"/>
        <v>0.43687199650502401</v>
      </c>
      <c r="CG25" s="3">
        <f t="shared" si="21"/>
        <v>27.108274355613801</v>
      </c>
      <c r="CI25" s="36">
        <f t="shared" si="49"/>
        <v>18</v>
      </c>
      <c r="CJ25" s="37">
        <f t="shared" si="50"/>
        <v>40664</v>
      </c>
      <c r="CK25" s="40">
        <v>58000</v>
      </c>
      <c r="CL25" s="40">
        <v>1000</v>
      </c>
      <c r="CM25" s="40">
        <v>11000</v>
      </c>
      <c r="CN25" s="38"/>
      <c r="CO25" s="39">
        <v>1418</v>
      </c>
      <c r="CP25" s="65">
        <v>40664</v>
      </c>
      <c r="CQ25" s="3"/>
      <c r="CR25" s="3">
        <f t="shared" si="22"/>
        <v>40.90267983074753</v>
      </c>
      <c r="CS25" s="3">
        <f t="shared" si="23"/>
        <v>0.70521861777150918</v>
      </c>
      <c r="CT25" s="3">
        <f t="shared" si="24"/>
        <v>7.7574047954866012</v>
      </c>
      <c r="CU25" s="3">
        <f t="shared" si="25"/>
        <v>49.365303244005638</v>
      </c>
      <c r="CW25" s="36">
        <f t="shared" si="51"/>
        <v>18</v>
      </c>
      <c r="CX25" s="37">
        <f t="shared" si="52"/>
        <v>41028</v>
      </c>
      <c r="CY25" s="40">
        <v>62725</v>
      </c>
      <c r="CZ25" s="73">
        <v>1000</v>
      </c>
      <c r="DA25" s="70">
        <v>0</v>
      </c>
      <c r="DB25" s="70"/>
      <c r="DC25" s="71">
        <v>1832</v>
      </c>
      <c r="DD25" s="71">
        <f t="shared" si="36"/>
        <v>41028</v>
      </c>
      <c r="DE25" s="72"/>
      <c r="DF25" s="3">
        <f t="shared" si="26"/>
        <v>34.238537117903931</v>
      </c>
      <c r="DG25" s="3">
        <f t="shared" si="27"/>
        <v>0.54585152838427953</v>
      </c>
      <c r="DH25" s="3">
        <f t="shared" si="28"/>
        <v>0</v>
      </c>
      <c r="DI25" s="3">
        <f t="shared" si="29"/>
        <v>34.784388646288214</v>
      </c>
      <c r="DK25" s="36">
        <f t="shared" si="53"/>
        <v>18</v>
      </c>
      <c r="DL25" s="37">
        <f t="shared" si="54"/>
        <v>41399</v>
      </c>
      <c r="DM25" s="73">
        <v>76000</v>
      </c>
      <c r="DN25" s="73">
        <v>0</v>
      </c>
      <c r="DO25" s="70">
        <v>0</v>
      </c>
      <c r="DP25" s="70"/>
      <c r="DQ25" s="71">
        <v>1810</v>
      </c>
      <c r="DR25" s="71">
        <f t="shared" si="37"/>
        <v>41399</v>
      </c>
      <c r="DS25" s="72"/>
      <c r="DT25" s="3">
        <f t="shared" si="30"/>
        <v>41.988950276243095</v>
      </c>
      <c r="DU25" s="3">
        <f t="shared" si="31"/>
        <v>0</v>
      </c>
      <c r="DV25" s="3">
        <f t="shared" si="32"/>
        <v>0</v>
      </c>
      <c r="DW25" s="3">
        <f t="shared" si="33"/>
        <v>41.988950276243095</v>
      </c>
    </row>
    <row r="26" spans="3:127">
      <c r="C26" s="36">
        <v>19</v>
      </c>
      <c r="D26" s="37">
        <f t="shared" si="38"/>
        <v>38480</v>
      </c>
      <c r="E26" s="38">
        <v>23000</v>
      </c>
      <c r="F26" s="38">
        <v>4000</v>
      </c>
      <c r="G26" s="58"/>
      <c r="H26" s="39"/>
      <c r="I26" s="58">
        <v>2132</v>
      </c>
      <c r="J26" s="59" t="s">
        <v>28</v>
      </c>
      <c r="K26" s="3"/>
      <c r="L26" s="3">
        <f t="shared" si="0"/>
        <v>10.787992495309568</v>
      </c>
      <c r="M26" s="3">
        <f t="shared" si="34"/>
        <v>1.876172607879925</v>
      </c>
      <c r="N26" s="3">
        <f t="shared" si="1"/>
        <v>0</v>
      </c>
      <c r="O26" s="3">
        <f t="shared" si="35"/>
        <v>12.664165103189493</v>
      </c>
      <c r="Q26" s="36">
        <f t="shared" si="39"/>
        <v>19</v>
      </c>
      <c r="R26" s="37">
        <f t="shared" si="40"/>
        <v>38844</v>
      </c>
      <c r="S26" s="38">
        <f>(3282.44-10-20+8316.54-500-100+4490)+(3282.44-10-20+8316.54-500-100+4490)</f>
        <v>30917.960000000003</v>
      </c>
      <c r="T26" s="38">
        <v>6000</v>
      </c>
      <c r="U26" s="58"/>
      <c r="V26" s="39"/>
      <c r="W26" s="63">
        <v>2668</v>
      </c>
      <c r="X26" s="59" t="s">
        <v>80</v>
      </c>
      <c r="Y26" s="3"/>
      <c r="Z26" s="3">
        <f t="shared" si="2"/>
        <v>11.588440779610195</v>
      </c>
      <c r="AA26" s="3">
        <f t="shared" si="3"/>
        <v>2.2488755622188905</v>
      </c>
      <c r="AB26" s="3">
        <f t="shared" si="4"/>
        <v>0</v>
      </c>
      <c r="AC26" s="3">
        <f t="shared" si="5"/>
        <v>13.837316341829085</v>
      </c>
      <c r="AD26" s="3"/>
      <c r="AE26" s="36">
        <f t="shared" si="41"/>
        <v>19</v>
      </c>
      <c r="AF26" s="37">
        <f t="shared" si="42"/>
        <v>39215</v>
      </c>
      <c r="AG26" s="38">
        <v>56000</v>
      </c>
      <c r="AH26" s="38">
        <v>17000</v>
      </c>
      <c r="AI26" s="58"/>
      <c r="AJ26" s="39"/>
      <c r="AK26" s="60">
        <v>1080</v>
      </c>
      <c r="AL26" s="59" t="s">
        <v>132</v>
      </c>
      <c r="AM26" s="3"/>
      <c r="AN26" s="3">
        <f t="shared" si="6"/>
        <v>51.851851851851855</v>
      </c>
      <c r="AO26" s="3">
        <f t="shared" si="7"/>
        <v>15.74074074074074</v>
      </c>
      <c r="AP26" s="3">
        <f t="shared" si="8"/>
        <v>0</v>
      </c>
      <c r="AQ26" s="3">
        <f t="shared" si="9"/>
        <v>67.592592592592595</v>
      </c>
      <c r="AR26" s="3"/>
      <c r="AS26" s="36">
        <f t="shared" si="43"/>
        <v>19</v>
      </c>
      <c r="AT26" s="37">
        <f t="shared" si="44"/>
        <v>39579</v>
      </c>
      <c r="AU26" s="38">
        <f>(5055.5-75-240+6449+3328-240-5)+(5055.5-75-240+6449+3328-240-5)</f>
        <v>28545</v>
      </c>
      <c r="AV26" s="38">
        <v>5000</v>
      </c>
      <c r="AW26" s="39"/>
      <c r="AX26" s="39"/>
      <c r="AY26" s="60">
        <v>1719</v>
      </c>
      <c r="AZ26" s="59" t="s">
        <v>184</v>
      </c>
      <c r="BA26" s="3"/>
      <c r="BB26" s="3">
        <f t="shared" si="10"/>
        <v>13.388836772983115</v>
      </c>
      <c r="BC26" s="3">
        <f t="shared" si="11"/>
        <v>2.3452157598499062</v>
      </c>
      <c r="BD26" s="3">
        <f t="shared" si="12"/>
        <v>0</v>
      </c>
      <c r="BE26" s="3">
        <f t="shared" si="13"/>
        <v>15.734052532833022</v>
      </c>
      <c r="BG26" s="36">
        <f t="shared" si="45"/>
        <v>19</v>
      </c>
      <c r="BH26" s="37">
        <f t="shared" si="46"/>
        <v>39943</v>
      </c>
      <c r="BI26" s="38">
        <f>23000+(5055.5-75-240+6449+3328-240-5)</f>
        <v>37272.5</v>
      </c>
      <c r="BJ26" s="38">
        <v>8000</v>
      </c>
      <c r="BK26" s="38">
        <v>0</v>
      </c>
      <c r="BL26" s="38"/>
      <c r="BM26" s="60">
        <v>1648</v>
      </c>
      <c r="BN26" s="59" t="s">
        <v>236</v>
      </c>
      <c r="BO26" s="3"/>
      <c r="BP26" s="3">
        <f t="shared" si="14"/>
        <v>22.616808252427184</v>
      </c>
      <c r="BQ26" s="3">
        <f t="shared" si="15"/>
        <v>4.8543689320388346</v>
      </c>
      <c r="BR26" s="3">
        <f t="shared" si="16"/>
        <v>0</v>
      </c>
      <c r="BS26" s="3">
        <f t="shared" si="17"/>
        <v>27.471177184466018</v>
      </c>
      <c r="BU26" s="36">
        <f t="shared" si="47"/>
        <v>19</v>
      </c>
      <c r="BV26" s="37">
        <f t="shared" si="48"/>
        <v>40307</v>
      </c>
      <c r="BW26" s="38">
        <f>23000+((5055.5-75-240+6449+3328-240-5)+(5055.5-75-240+6449+3328-240-5))</f>
        <v>51545</v>
      </c>
      <c r="BX26" s="40">
        <v>0</v>
      </c>
      <c r="BY26" s="40">
        <v>1000</v>
      </c>
      <c r="BZ26" s="38"/>
      <c r="CA26" s="39">
        <v>2530</v>
      </c>
      <c r="CB26" s="65">
        <v>40307</v>
      </c>
      <c r="CC26" s="3"/>
      <c r="CD26" s="3">
        <f t="shared" si="18"/>
        <v>20.373517786561266</v>
      </c>
      <c r="CE26" s="3">
        <f t="shared" si="19"/>
        <v>0</v>
      </c>
      <c r="CF26" s="3">
        <f t="shared" si="20"/>
        <v>0.39525691699604742</v>
      </c>
      <c r="CG26" s="3">
        <f t="shared" si="21"/>
        <v>20.768774703557312</v>
      </c>
      <c r="CI26" s="36">
        <f t="shared" si="49"/>
        <v>19</v>
      </c>
      <c r="CJ26" s="37">
        <f t="shared" si="50"/>
        <v>40671</v>
      </c>
      <c r="CK26" s="40">
        <v>48000</v>
      </c>
      <c r="CL26" s="40">
        <v>0</v>
      </c>
      <c r="CM26" s="40">
        <v>7000</v>
      </c>
      <c r="CN26" s="38"/>
      <c r="CO26" s="39">
        <v>1726</v>
      </c>
      <c r="CP26" s="65">
        <v>40671</v>
      </c>
      <c r="CQ26" s="3"/>
      <c r="CR26" s="3">
        <f t="shared" si="22"/>
        <v>27.809965237543452</v>
      </c>
      <c r="CS26" s="3">
        <f t="shared" si="23"/>
        <v>0</v>
      </c>
      <c r="CT26" s="3">
        <f t="shared" si="24"/>
        <v>4.0556199304750873</v>
      </c>
      <c r="CU26" s="3">
        <f t="shared" si="25"/>
        <v>31.865585168018541</v>
      </c>
      <c r="CW26" s="36">
        <f t="shared" si="51"/>
        <v>19</v>
      </c>
      <c r="CX26" s="37">
        <f t="shared" si="52"/>
        <v>41035</v>
      </c>
      <c r="CY26" s="40">
        <v>63736</v>
      </c>
      <c r="CZ26" s="73">
        <v>1000</v>
      </c>
      <c r="DA26" s="70">
        <v>0</v>
      </c>
      <c r="DB26" s="70"/>
      <c r="DC26" s="71">
        <v>1736</v>
      </c>
      <c r="DD26" s="71">
        <f t="shared" si="36"/>
        <v>41035</v>
      </c>
      <c r="DE26" s="72"/>
      <c r="DF26" s="3">
        <f t="shared" si="26"/>
        <v>36.714285714285715</v>
      </c>
      <c r="DG26" s="3">
        <f t="shared" si="27"/>
        <v>0.57603686635944695</v>
      </c>
      <c r="DH26" s="3">
        <f t="shared" si="28"/>
        <v>0</v>
      </c>
      <c r="DI26" s="3">
        <f t="shared" si="29"/>
        <v>37.29032258064516</v>
      </c>
      <c r="DK26" s="36">
        <f t="shared" si="53"/>
        <v>19</v>
      </c>
      <c r="DL26" s="37">
        <f t="shared" si="54"/>
        <v>41406</v>
      </c>
      <c r="DM26" s="73">
        <v>64000</v>
      </c>
      <c r="DN26" s="73">
        <v>1000</v>
      </c>
      <c r="DO26" s="70">
        <v>0</v>
      </c>
      <c r="DP26" s="70"/>
      <c r="DQ26" s="71">
        <v>1724</v>
      </c>
      <c r="DR26" s="71">
        <f t="shared" si="37"/>
        <v>41406</v>
      </c>
      <c r="DS26" s="72"/>
      <c r="DT26" s="3">
        <f t="shared" si="30"/>
        <v>37.122969837587007</v>
      </c>
      <c r="DU26" s="3">
        <f t="shared" si="31"/>
        <v>0.58004640371229699</v>
      </c>
      <c r="DV26" s="3">
        <f t="shared" si="32"/>
        <v>0</v>
      </c>
      <c r="DW26" s="3">
        <f t="shared" si="33"/>
        <v>37.703016241299302</v>
      </c>
    </row>
    <row r="27" spans="3:127">
      <c r="C27" s="36">
        <v>20</v>
      </c>
      <c r="D27" s="37">
        <f t="shared" si="38"/>
        <v>38487</v>
      </c>
      <c r="E27" s="38">
        <v>28000</v>
      </c>
      <c r="F27" s="38">
        <v>3000</v>
      </c>
      <c r="G27" s="58"/>
      <c r="H27" s="39"/>
      <c r="I27" s="58">
        <v>2556</v>
      </c>
      <c r="J27" s="59" t="s">
        <v>29</v>
      </c>
      <c r="K27" s="3"/>
      <c r="L27" s="3">
        <f t="shared" si="0"/>
        <v>10.954616588419405</v>
      </c>
      <c r="M27" s="3">
        <f t="shared" si="34"/>
        <v>1.1737089201877935</v>
      </c>
      <c r="N27" s="3">
        <f t="shared" si="1"/>
        <v>0</v>
      </c>
      <c r="O27" s="3">
        <f t="shared" si="35"/>
        <v>12.128325508607199</v>
      </c>
      <c r="Q27" s="36">
        <f t="shared" si="39"/>
        <v>20</v>
      </c>
      <c r="R27" s="37">
        <f t="shared" si="40"/>
        <v>38851</v>
      </c>
      <c r="S27" s="38">
        <f>(2657.31-30+5753.07+2223-38)+(2657.31-30+5753.07+2223-38)</f>
        <v>21130.76</v>
      </c>
      <c r="T27" s="38">
        <v>2000</v>
      </c>
      <c r="U27" s="58"/>
      <c r="V27" s="39"/>
      <c r="W27" s="63">
        <v>2028</v>
      </c>
      <c r="X27" s="59" t="s">
        <v>81</v>
      </c>
      <c r="Y27" s="3"/>
      <c r="Z27" s="3">
        <f t="shared" si="2"/>
        <v>10.419506903353057</v>
      </c>
      <c r="AA27" s="3">
        <f t="shared" si="3"/>
        <v>0.98619329388560162</v>
      </c>
      <c r="AB27" s="3">
        <f t="shared" si="4"/>
        <v>0</v>
      </c>
      <c r="AC27" s="3">
        <f t="shared" si="5"/>
        <v>11.405700197238659</v>
      </c>
      <c r="AD27" s="3"/>
      <c r="AE27" s="36">
        <f t="shared" si="41"/>
        <v>20</v>
      </c>
      <c r="AF27" s="37">
        <f t="shared" si="42"/>
        <v>39222</v>
      </c>
      <c r="AG27" s="38">
        <v>30000</v>
      </c>
      <c r="AH27" s="38">
        <v>3000</v>
      </c>
      <c r="AI27" s="58"/>
      <c r="AJ27" s="39"/>
      <c r="AK27" s="60">
        <v>1170</v>
      </c>
      <c r="AL27" s="59" t="s">
        <v>133</v>
      </c>
      <c r="AM27" s="3"/>
      <c r="AN27" s="3">
        <f t="shared" si="6"/>
        <v>25.641025641025642</v>
      </c>
      <c r="AO27" s="3">
        <f t="shared" si="7"/>
        <v>2.5641025641025643</v>
      </c>
      <c r="AP27" s="3">
        <f t="shared" si="8"/>
        <v>0</v>
      </c>
      <c r="AQ27" s="3">
        <f t="shared" si="9"/>
        <v>28.205128205128208</v>
      </c>
      <c r="AR27" s="3"/>
      <c r="AS27" s="36">
        <f t="shared" si="43"/>
        <v>20</v>
      </c>
      <c r="AT27" s="37">
        <f t="shared" si="44"/>
        <v>39586</v>
      </c>
      <c r="AU27" s="38">
        <f>(4687.24-50-4.5+9465.2-46-40-20-25+3622-140-138-50)+(4687.24-50-4.5+9465.2-46-40-20-25+3622-140-138-50)</f>
        <v>34521.880000000005</v>
      </c>
      <c r="AV27" s="38">
        <v>8000</v>
      </c>
      <c r="AW27" s="39"/>
      <c r="AX27" s="39"/>
      <c r="AY27" s="60">
        <v>1844</v>
      </c>
      <c r="AZ27" s="59" t="s">
        <v>185</v>
      </c>
      <c r="BA27" s="3"/>
      <c r="BB27" s="3">
        <f t="shared" si="10"/>
        <v>13.506212832550862</v>
      </c>
      <c r="BC27" s="3">
        <f t="shared" si="11"/>
        <v>3.1298904538341157</v>
      </c>
      <c r="BD27" s="3">
        <f t="shared" si="12"/>
        <v>0</v>
      </c>
      <c r="BE27" s="3">
        <f t="shared" si="13"/>
        <v>16.636103286384976</v>
      </c>
      <c r="BG27" s="36">
        <f t="shared" si="45"/>
        <v>20</v>
      </c>
      <c r="BH27" s="37">
        <f t="shared" si="46"/>
        <v>39950</v>
      </c>
      <c r="BI27" s="38">
        <f>22000+(4687.24-50-4.5+9465.2-46-40-20-25+3622-140-138-50)</f>
        <v>39260.94</v>
      </c>
      <c r="BJ27" s="38">
        <v>7000</v>
      </c>
      <c r="BK27" s="38">
        <v>2000</v>
      </c>
      <c r="BL27" s="38"/>
      <c r="BM27" s="60">
        <v>1722</v>
      </c>
      <c r="BN27" s="59" t="s">
        <v>237</v>
      </c>
      <c r="BO27" s="3"/>
      <c r="BP27" s="3">
        <f t="shared" si="14"/>
        <v>22.799616724738677</v>
      </c>
      <c r="BQ27" s="3">
        <f t="shared" si="15"/>
        <v>4.0650406504065044</v>
      </c>
      <c r="BR27" s="3">
        <f t="shared" si="16"/>
        <v>1.1614401858304297</v>
      </c>
      <c r="BS27" s="3">
        <f t="shared" si="17"/>
        <v>28.026097560975611</v>
      </c>
      <c r="BU27" s="36">
        <f t="shared" si="47"/>
        <v>20</v>
      </c>
      <c r="BV27" s="37">
        <f t="shared" si="48"/>
        <v>40314</v>
      </c>
      <c r="BW27" s="38">
        <f>24000+((4687.24-50-4.5+9465.2-46-40-20-25+3622-140-138-50)+(4687.24-50-4.5+9465.2-46-40-20-25+3622-140-138-50))</f>
        <v>58521.880000000005</v>
      </c>
      <c r="BX27" s="40">
        <v>0</v>
      </c>
      <c r="BY27" s="40">
        <v>2000</v>
      </c>
      <c r="BZ27" s="38"/>
      <c r="CA27" s="39">
        <v>2554</v>
      </c>
      <c r="CB27" s="65">
        <v>40314</v>
      </c>
      <c r="CC27" s="3"/>
      <c r="CD27" s="3">
        <f t="shared" si="18"/>
        <v>22.913813625685201</v>
      </c>
      <c r="CE27" s="3">
        <f t="shared" si="19"/>
        <v>0</v>
      </c>
      <c r="CF27" s="3">
        <f t="shared" si="20"/>
        <v>0.78308535630383713</v>
      </c>
      <c r="CG27" s="3">
        <f t="shared" si="21"/>
        <v>23.696898981989037</v>
      </c>
      <c r="CI27" s="36">
        <f t="shared" si="49"/>
        <v>20</v>
      </c>
      <c r="CJ27" s="37">
        <f t="shared" si="50"/>
        <v>40678</v>
      </c>
      <c r="CK27" s="40">
        <v>48000</v>
      </c>
      <c r="CL27" s="40">
        <v>1000</v>
      </c>
      <c r="CM27" s="40">
        <v>11000</v>
      </c>
      <c r="CN27" s="38"/>
      <c r="CO27" s="39">
        <v>1738</v>
      </c>
      <c r="CP27" s="65">
        <v>40678</v>
      </c>
      <c r="CQ27" s="3"/>
      <c r="CR27" s="3">
        <f t="shared" si="22"/>
        <v>27.617951668584581</v>
      </c>
      <c r="CS27" s="3">
        <f t="shared" si="23"/>
        <v>0.57537399309551207</v>
      </c>
      <c r="CT27" s="3">
        <f t="shared" si="24"/>
        <v>6.3291139240506329</v>
      </c>
      <c r="CU27" s="3">
        <f t="shared" si="25"/>
        <v>34.522439585730723</v>
      </c>
      <c r="CW27" s="36">
        <f t="shared" si="51"/>
        <v>20</v>
      </c>
      <c r="CX27" s="37">
        <f t="shared" si="52"/>
        <v>41042</v>
      </c>
      <c r="CY27" s="40">
        <v>53488</v>
      </c>
      <c r="CZ27" s="73">
        <v>1000</v>
      </c>
      <c r="DA27" s="70">
        <v>0</v>
      </c>
      <c r="DB27" s="70"/>
      <c r="DC27" s="71">
        <v>1560</v>
      </c>
      <c r="DD27" s="71">
        <f t="shared" si="36"/>
        <v>41042</v>
      </c>
      <c r="DE27" s="72"/>
      <c r="DF27" s="3">
        <f t="shared" si="26"/>
        <v>34.287179487179486</v>
      </c>
      <c r="DG27" s="3">
        <f t="shared" si="27"/>
        <v>0.64102564102564108</v>
      </c>
      <c r="DH27" s="3">
        <f t="shared" si="28"/>
        <v>0</v>
      </c>
      <c r="DI27" s="3">
        <f t="shared" si="29"/>
        <v>34.928205128205128</v>
      </c>
      <c r="DK27" s="36">
        <f t="shared" si="53"/>
        <v>20</v>
      </c>
      <c r="DL27" s="37">
        <f t="shared" si="54"/>
        <v>41413</v>
      </c>
      <c r="DM27" s="73">
        <v>60000</v>
      </c>
      <c r="DN27" s="73">
        <v>1000</v>
      </c>
      <c r="DO27" s="70">
        <v>0</v>
      </c>
      <c r="DP27" s="70"/>
      <c r="DQ27" s="71">
        <v>1928</v>
      </c>
      <c r="DR27" s="71">
        <f t="shared" si="37"/>
        <v>41413</v>
      </c>
      <c r="DS27" s="72"/>
      <c r="DT27" s="3">
        <f t="shared" si="30"/>
        <v>31.120331950207468</v>
      </c>
      <c r="DU27" s="3">
        <f t="shared" si="31"/>
        <v>0.51867219917012453</v>
      </c>
      <c r="DV27" s="3">
        <f t="shared" si="32"/>
        <v>0</v>
      </c>
      <c r="DW27" s="3">
        <f t="shared" si="33"/>
        <v>31.639004149377595</v>
      </c>
    </row>
    <row r="28" spans="3:127">
      <c r="C28" s="36">
        <v>21</v>
      </c>
      <c r="D28" s="37">
        <f t="shared" si="38"/>
        <v>38494</v>
      </c>
      <c r="E28" s="38">
        <v>16000</v>
      </c>
      <c r="F28" s="38">
        <v>3000</v>
      </c>
      <c r="G28" s="58"/>
      <c r="H28" s="39"/>
      <c r="I28" s="58">
        <v>2596</v>
      </c>
      <c r="J28" s="59" t="s">
        <v>30</v>
      </c>
      <c r="K28" s="3"/>
      <c r="L28" s="3">
        <f t="shared" si="0"/>
        <v>6.1633281972265026</v>
      </c>
      <c r="M28" s="3">
        <f t="shared" si="34"/>
        <v>1.1556240369799693</v>
      </c>
      <c r="N28" s="3">
        <f t="shared" si="1"/>
        <v>0</v>
      </c>
      <c r="O28" s="3">
        <f t="shared" si="35"/>
        <v>7.3189522342064723</v>
      </c>
      <c r="Q28" s="36">
        <f t="shared" si="39"/>
        <v>21</v>
      </c>
      <c r="R28" s="37">
        <f t="shared" si="40"/>
        <v>38858</v>
      </c>
      <c r="S28" s="38">
        <f>(2415.49-50+7429+4718.9-24-100)+(2415.49-50+7429+4718.9-24-100)</f>
        <v>28778.78</v>
      </c>
      <c r="T28" s="38">
        <v>2000</v>
      </c>
      <c r="U28" s="58"/>
      <c r="V28" s="39"/>
      <c r="W28" s="63">
        <v>2240</v>
      </c>
      <c r="X28" s="59" t="s">
        <v>82</v>
      </c>
      <c r="Y28" s="3"/>
      <c r="Z28" s="3">
        <f t="shared" si="2"/>
        <v>12.847669642857142</v>
      </c>
      <c r="AA28" s="3">
        <f t="shared" si="3"/>
        <v>0.8928571428571429</v>
      </c>
      <c r="AB28" s="3">
        <f t="shared" si="4"/>
        <v>0</v>
      </c>
      <c r="AC28" s="3">
        <f t="shared" si="5"/>
        <v>13.740526785714284</v>
      </c>
      <c r="AD28" s="3"/>
      <c r="AE28" s="36">
        <f t="shared" si="41"/>
        <v>21</v>
      </c>
      <c r="AF28" s="37">
        <f t="shared" si="42"/>
        <v>39229</v>
      </c>
      <c r="AG28" s="38">
        <v>24000</v>
      </c>
      <c r="AH28" s="38">
        <v>3000</v>
      </c>
      <c r="AI28" s="58"/>
      <c r="AJ28" s="39"/>
      <c r="AK28" s="60">
        <v>1054</v>
      </c>
      <c r="AL28" s="59" t="s">
        <v>134</v>
      </c>
      <c r="AM28" s="3"/>
      <c r="AN28" s="3">
        <f t="shared" si="6"/>
        <v>22.770398481973434</v>
      </c>
      <c r="AO28" s="3">
        <f t="shared" si="7"/>
        <v>2.8462998102466792</v>
      </c>
      <c r="AP28" s="3">
        <f t="shared" si="8"/>
        <v>0</v>
      </c>
      <c r="AQ28" s="3">
        <f t="shared" si="9"/>
        <v>25.616698292220114</v>
      </c>
      <c r="AR28" s="3"/>
      <c r="AS28" s="36">
        <f t="shared" si="43"/>
        <v>21</v>
      </c>
      <c r="AT28" s="37">
        <f t="shared" si="44"/>
        <v>39593</v>
      </c>
      <c r="AU28" s="38">
        <f>(7294.37-24-300-25-75-450+5471.76-40-200+4801.58-70)+(7294.37-24-300-25-75-450+5471.76-40-200+4801.58-70)</f>
        <v>32767.42</v>
      </c>
      <c r="AV28" s="38">
        <v>4000</v>
      </c>
      <c r="AW28" s="39"/>
      <c r="AX28" s="39"/>
      <c r="AY28" s="60">
        <v>1608</v>
      </c>
      <c r="AZ28" s="59" t="s">
        <v>186</v>
      </c>
      <c r="BA28" s="3"/>
      <c r="BB28" s="3">
        <f t="shared" si="10"/>
        <v>12.622272727272726</v>
      </c>
      <c r="BC28" s="3">
        <f t="shared" si="11"/>
        <v>1.5408320493066257</v>
      </c>
      <c r="BD28" s="3">
        <f t="shared" si="12"/>
        <v>0</v>
      </c>
      <c r="BE28" s="3">
        <f t="shared" si="13"/>
        <v>14.163104776579353</v>
      </c>
      <c r="BG28" s="36">
        <f t="shared" si="45"/>
        <v>21</v>
      </c>
      <c r="BH28" s="37">
        <f t="shared" si="46"/>
        <v>39957</v>
      </c>
      <c r="BI28" s="38">
        <f>17000+(7294.37-24-300-25-75-450+5471.76-40-200+4801.58-70)</f>
        <v>33383.71</v>
      </c>
      <c r="BJ28" s="38">
        <v>10000</v>
      </c>
      <c r="BK28" s="38">
        <v>0</v>
      </c>
      <c r="BL28" s="38"/>
      <c r="BM28" s="60">
        <v>1584</v>
      </c>
      <c r="BN28" s="59" t="s">
        <v>238</v>
      </c>
      <c r="BO28" s="3"/>
      <c r="BP28" s="3">
        <f t="shared" si="14"/>
        <v>21.075574494949496</v>
      </c>
      <c r="BQ28" s="3">
        <f t="shared" si="15"/>
        <v>6.3131313131313131</v>
      </c>
      <c r="BR28" s="3">
        <f t="shared" si="16"/>
        <v>0</v>
      </c>
      <c r="BS28" s="3">
        <f t="shared" si="17"/>
        <v>27.388705808080807</v>
      </c>
      <c r="BU28" s="36">
        <f t="shared" si="47"/>
        <v>21</v>
      </c>
      <c r="BV28" s="37">
        <f t="shared" si="48"/>
        <v>40321</v>
      </c>
      <c r="BW28" s="38">
        <f>22000+((7294.37-24-300-25-75-450+5471.76-40-200+4801.58-70)+(7294.37-24-300-25-75-450+5471.76-40-200+4801.58-70))</f>
        <v>54767.42</v>
      </c>
      <c r="BX28" s="40">
        <v>3000</v>
      </c>
      <c r="BY28" s="40">
        <v>1000</v>
      </c>
      <c r="BZ28" s="38"/>
      <c r="CA28" s="39">
        <v>2284</v>
      </c>
      <c r="CB28" s="65">
        <v>40321</v>
      </c>
      <c r="CC28" s="3"/>
      <c r="CD28" s="3">
        <f t="shared" si="18"/>
        <v>23.978730297723292</v>
      </c>
      <c r="CE28" s="3">
        <f t="shared" si="19"/>
        <v>1.3134851138353765</v>
      </c>
      <c r="CF28" s="3">
        <f t="shared" si="20"/>
        <v>0.43782837127845886</v>
      </c>
      <c r="CG28" s="3">
        <f t="shared" si="21"/>
        <v>25.730043782837129</v>
      </c>
      <c r="CI28" s="36">
        <f t="shared" si="49"/>
        <v>21</v>
      </c>
      <c r="CJ28" s="37">
        <f t="shared" si="50"/>
        <v>40685</v>
      </c>
      <c r="CK28" s="40">
        <v>42000</v>
      </c>
      <c r="CL28" s="40">
        <v>0</v>
      </c>
      <c r="CM28" s="40">
        <v>7000</v>
      </c>
      <c r="CN28" s="38"/>
      <c r="CO28" s="39">
        <v>1488</v>
      </c>
      <c r="CP28" s="65">
        <v>40685</v>
      </c>
      <c r="CQ28" s="3"/>
      <c r="CR28" s="3">
        <f t="shared" si="22"/>
        <v>28.225806451612904</v>
      </c>
      <c r="CS28" s="3">
        <f t="shared" si="23"/>
        <v>0</v>
      </c>
      <c r="CT28" s="3">
        <f t="shared" si="24"/>
        <v>4.704301075268817</v>
      </c>
      <c r="CU28" s="3">
        <f t="shared" si="25"/>
        <v>32.93010752688172</v>
      </c>
      <c r="CW28" s="36">
        <f t="shared" si="51"/>
        <v>21</v>
      </c>
      <c r="CX28" s="37">
        <f t="shared" si="52"/>
        <v>41049</v>
      </c>
      <c r="CY28" s="40">
        <v>66034</v>
      </c>
      <c r="CZ28" s="73">
        <v>2000</v>
      </c>
      <c r="DA28" s="70">
        <v>0</v>
      </c>
      <c r="DB28" s="70"/>
      <c r="DC28" s="71">
        <v>1798</v>
      </c>
      <c r="DD28" s="71">
        <f t="shared" si="36"/>
        <v>41049</v>
      </c>
      <c r="DE28" s="72"/>
      <c r="DF28" s="3">
        <f t="shared" si="26"/>
        <v>36.726362625139046</v>
      </c>
      <c r="DG28" s="3">
        <f t="shared" si="27"/>
        <v>1.1123470522803114</v>
      </c>
      <c r="DH28" s="3">
        <f t="shared" si="28"/>
        <v>0</v>
      </c>
      <c r="DI28" s="3">
        <f t="shared" si="29"/>
        <v>37.838709677419359</v>
      </c>
      <c r="DK28" s="36">
        <f t="shared" si="53"/>
        <v>21</v>
      </c>
      <c r="DL28" s="37">
        <f t="shared" si="54"/>
        <v>41420</v>
      </c>
      <c r="DM28" s="73">
        <v>50000</v>
      </c>
      <c r="DN28" s="73">
        <v>1000</v>
      </c>
      <c r="DO28" s="70">
        <v>0</v>
      </c>
      <c r="DP28" s="70"/>
      <c r="DQ28" s="71">
        <v>1730</v>
      </c>
      <c r="DR28" s="71">
        <f t="shared" si="37"/>
        <v>41420</v>
      </c>
      <c r="DS28" s="72"/>
      <c r="DT28" s="3">
        <f t="shared" si="30"/>
        <v>28.901734104046241</v>
      </c>
      <c r="DU28" s="3">
        <f t="shared" si="31"/>
        <v>0.5780346820809249</v>
      </c>
      <c r="DV28" s="3">
        <f t="shared" si="32"/>
        <v>0</v>
      </c>
      <c r="DW28" s="3">
        <f t="shared" si="33"/>
        <v>29.479768786127167</v>
      </c>
    </row>
    <row r="29" spans="3:127">
      <c r="C29" s="36">
        <v>22</v>
      </c>
      <c r="D29" s="37">
        <f t="shared" si="38"/>
        <v>38501</v>
      </c>
      <c r="E29" s="38">
        <v>18000</v>
      </c>
      <c r="F29" s="38">
        <v>4000</v>
      </c>
      <c r="G29" s="58"/>
      <c r="H29" s="39"/>
      <c r="I29" s="58">
        <v>1616</v>
      </c>
      <c r="J29" s="59" t="s">
        <v>31</v>
      </c>
      <c r="K29" s="3"/>
      <c r="L29" s="3">
        <f t="shared" si="0"/>
        <v>11.138613861386139</v>
      </c>
      <c r="M29" s="3">
        <f t="shared" si="34"/>
        <v>2.4752475247524752</v>
      </c>
      <c r="N29" s="3">
        <f t="shared" si="1"/>
        <v>0</v>
      </c>
      <c r="O29" s="3">
        <f t="shared" si="35"/>
        <v>13.613861386138614</v>
      </c>
      <c r="Q29" s="36">
        <f t="shared" si="39"/>
        <v>22</v>
      </c>
      <c r="R29" s="37">
        <f t="shared" si="40"/>
        <v>38865</v>
      </c>
      <c r="S29" s="38">
        <f>(2281.63+4030+3297)+(2281.63+4030+3297)</f>
        <v>19217.260000000002</v>
      </c>
      <c r="T29" s="38">
        <v>2000</v>
      </c>
      <c r="U29" s="58"/>
      <c r="V29" s="39"/>
      <c r="W29" s="63">
        <v>1992</v>
      </c>
      <c r="X29" s="59" t="s">
        <v>83</v>
      </c>
      <c r="Y29" s="3"/>
      <c r="Z29" s="3">
        <f t="shared" si="2"/>
        <v>9.6472188755020092</v>
      </c>
      <c r="AA29" s="3">
        <f t="shared" si="3"/>
        <v>1.0040160642570282</v>
      </c>
      <c r="AB29" s="3">
        <f t="shared" si="4"/>
        <v>0</v>
      </c>
      <c r="AC29" s="3">
        <f t="shared" si="5"/>
        <v>10.651234939759037</v>
      </c>
      <c r="AD29" s="3"/>
      <c r="AE29" s="36">
        <f t="shared" si="41"/>
        <v>22</v>
      </c>
      <c r="AF29" s="37">
        <f t="shared" si="42"/>
        <v>39236</v>
      </c>
      <c r="AG29" s="38">
        <v>24000</v>
      </c>
      <c r="AH29" s="38">
        <v>17000</v>
      </c>
      <c r="AI29" s="58"/>
      <c r="AJ29" s="39"/>
      <c r="AK29" s="60">
        <v>778</v>
      </c>
      <c r="AL29" s="59" t="s">
        <v>135</v>
      </c>
      <c r="AM29" s="3"/>
      <c r="AN29" s="3">
        <f t="shared" si="6"/>
        <v>30.848329048843187</v>
      </c>
      <c r="AO29" s="3">
        <f t="shared" si="7"/>
        <v>21.85089974293059</v>
      </c>
      <c r="AP29" s="3">
        <f t="shared" si="8"/>
        <v>0</v>
      </c>
      <c r="AQ29" s="3">
        <f t="shared" si="9"/>
        <v>52.699228791773777</v>
      </c>
      <c r="AR29" s="3"/>
      <c r="AS29" s="36">
        <f t="shared" si="43"/>
        <v>22</v>
      </c>
      <c r="AT29" s="37">
        <f t="shared" si="44"/>
        <v>39600</v>
      </c>
      <c r="AU29" s="38">
        <f>(7020.75-25-5+3692+850)+(7020.75-25-5+3692+850)</f>
        <v>23065.5</v>
      </c>
      <c r="AV29" s="38">
        <v>10000</v>
      </c>
      <c r="AW29" s="39"/>
      <c r="AX29" s="39"/>
      <c r="AY29" s="60">
        <v>1114</v>
      </c>
      <c r="AZ29" s="59" t="s">
        <v>187</v>
      </c>
      <c r="BA29" s="3"/>
      <c r="BB29" s="3">
        <f t="shared" si="10"/>
        <v>14.273205445544555</v>
      </c>
      <c r="BC29" s="3">
        <f t="shared" si="11"/>
        <v>6.1881188118811883</v>
      </c>
      <c r="BD29" s="3">
        <f t="shared" si="12"/>
        <v>0</v>
      </c>
      <c r="BE29" s="3">
        <f t="shared" si="13"/>
        <v>20.461324257425744</v>
      </c>
      <c r="BG29" s="36">
        <f t="shared" si="45"/>
        <v>22</v>
      </c>
      <c r="BH29" s="37">
        <f t="shared" si="46"/>
        <v>39964</v>
      </c>
      <c r="BI29" s="38">
        <f>19000+(7020.75-25-5+3692+850)</f>
        <v>30532.75</v>
      </c>
      <c r="BJ29" s="38">
        <v>5000</v>
      </c>
      <c r="BK29" s="38">
        <v>0</v>
      </c>
      <c r="BL29" s="38"/>
      <c r="BM29" s="60">
        <v>1162</v>
      </c>
      <c r="BN29" s="59" t="s">
        <v>239</v>
      </c>
      <c r="BO29" s="3"/>
      <c r="BP29" s="3">
        <f t="shared" si="14"/>
        <v>26.276032702237522</v>
      </c>
      <c r="BQ29" s="3">
        <f t="shared" si="15"/>
        <v>4.3029259896729775</v>
      </c>
      <c r="BR29" s="3">
        <f t="shared" si="16"/>
        <v>0</v>
      </c>
      <c r="BS29" s="3">
        <f t="shared" si="17"/>
        <v>30.578958691910501</v>
      </c>
      <c r="BU29" s="36">
        <f t="shared" si="47"/>
        <v>22</v>
      </c>
      <c r="BV29" s="37">
        <f t="shared" si="48"/>
        <v>40328</v>
      </c>
      <c r="BW29" s="38">
        <f>21000+((7020.75-25-5+3692+850)+(7020.75-25-5+3692+850))</f>
        <v>44065.5</v>
      </c>
      <c r="BX29" s="40">
        <v>8000</v>
      </c>
      <c r="BY29" s="40">
        <v>1000</v>
      </c>
      <c r="BZ29" s="38"/>
      <c r="CA29" s="39">
        <v>2310</v>
      </c>
      <c r="CB29" s="65">
        <v>40328</v>
      </c>
      <c r="CC29" s="3"/>
      <c r="CD29" s="3">
        <f t="shared" si="18"/>
        <v>19.075974025974027</v>
      </c>
      <c r="CE29" s="3">
        <f t="shared" si="19"/>
        <v>3.4632034632034632</v>
      </c>
      <c r="CF29" s="3">
        <f t="shared" si="20"/>
        <v>0.4329004329004329</v>
      </c>
      <c r="CG29" s="3">
        <f t="shared" si="21"/>
        <v>22.972077922077922</v>
      </c>
      <c r="CI29" s="36">
        <f t="shared" si="49"/>
        <v>22</v>
      </c>
      <c r="CJ29" s="37">
        <f t="shared" si="50"/>
        <v>40692</v>
      </c>
      <c r="CK29" s="40">
        <v>38000</v>
      </c>
      <c r="CL29" s="40">
        <v>1000</v>
      </c>
      <c r="CM29" s="40">
        <v>4000</v>
      </c>
      <c r="CN29" s="38"/>
      <c r="CO29" s="39">
        <v>1534</v>
      </c>
      <c r="CP29" s="65">
        <v>40692</v>
      </c>
      <c r="CQ29" s="3"/>
      <c r="CR29" s="3">
        <f t="shared" si="22"/>
        <v>24.771838331160364</v>
      </c>
      <c r="CS29" s="3">
        <f t="shared" si="23"/>
        <v>0.65189048239895697</v>
      </c>
      <c r="CT29" s="3">
        <f t="shared" si="24"/>
        <v>2.6075619295958279</v>
      </c>
      <c r="CU29" s="3">
        <f t="shared" si="25"/>
        <v>28.03129074315515</v>
      </c>
      <c r="CW29" s="36">
        <f t="shared" si="51"/>
        <v>22</v>
      </c>
      <c r="CX29" s="37">
        <f t="shared" si="52"/>
        <v>41056</v>
      </c>
      <c r="CY29" s="40">
        <v>30634</v>
      </c>
      <c r="CZ29" s="73">
        <v>1000</v>
      </c>
      <c r="DA29" s="70">
        <v>0</v>
      </c>
      <c r="DB29" s="70"/>
      <c r="DC29" s="71">
        <v>1604</v>
      </c>
      <c r="DD29" s="71">
        <f t="shared" si="36"/>
        <v>41056</v>
      </c>
      <c r="DE29" s="72"/>
      <c r="DF29" s="3">
        <f t="shared" si="26"/>
        <v>19.098503740648379</v>
      </c>
      <c r="DG29" s="3">
        <f t="shared" si="27"/>
        <v>0.62344139650872821</v>
      </c>
      <c r="DH29" s="3">
        <f t="shared" si="28"/>
        <v>0</v>
      </c>
      <c r="DI29" s="3">
        <f t="shared" si="29"/>
        <v>19.721945137157107</v>
      </c>
      <c r="DK29" s="36">
        <f t="shared" si="53"/>
        <v>22</v>
      </c>
      <c r="DL29" s="37">
        <f t="shared" si="54"/>
        <v>41427</v>
      </c>
      <c r="DM29" s="73">
        <v>58000</v>
      </c>
      <c r="DN29" s="73">
        <v>0</v>
      </c>
      <c r="DO29" s="70">
        <v>0</v>
      </c>
      <c r="DP29" s="70"/>
      <c r="DQ29" s="71">
        <v>1496</v>
      </c>
      <c r="DR29" s="71">
        <f t="shared" si="37"/>
        <v>41427</v>
      </c>
      <c r="DS29" s="72"/>
      <c r="DT29" s="3">
        <f t="shared" si="30"/>
        <v>38.770053475935832</v>
      </c>
      <c r="DU29" s="3">
        <f t="shared" si="31"/>
        <v>0</v>
      </c>
      <c r="DV29" s="3">
        <f t="shared" si="32"/>
        <v>0</v>
      </c>
      <c r="DW29" s="3">
        <f t="shared" si="33"/>
        <v>38.770053475935832</v>
      </c>
    </row>
    <row r="30" spans="3:127">
      <c r="C30" s="36">
        <v>23</v>
      </c>
      <c r="D30" s="37">
        <f t="shared" si="38"/>
        <v>38508</v>
      </c>
      <c r="E30" s="38">
        <v>24000</v>
      </c>
      <c r="F30" s="38">
        <v>5000</v>
      </c>
      <c r="G30" s="58"/>
      <c r="H30" s="39"/>
      <c r="I30" s="58">
        <v>1564</v>
      </c>
      <c r="J30" s="59" t="s">
        <v>32</v>
      </c>
      <c r="K30" s="3"/>
      <c r="L30" s="3">
        <f t="shared" si="0"/>
        <v>15.345268542199488</v>
      </c>
      <c r="M30" s="3">
        <f t="shared" si="34"/>
        <v>3.1969309462915603</v>
      </c>
      <c r="N30" s="3">
        <f t="shared" si="1"/>
        <v>0</v>
      </c>
      <c r="O30" s="3">
        <f t="shared" si="35"/>
        <v>18.542199488491047</v>
      </c>
      <c r="Q30" s="36">
        <f t="shared" si="39"/>
        <v>23</v>
      </c>
      <c r="R30" s="37">
        <f t="shared" si="40"/>
        <v>38872</v>
      </c>
      <c r="S30" s="38">
        <f>(9576.83-10+5781.57)+(9576.83-10+5781.57)</f>
        <v>30696.799999999999</v>
      </c>
      <c r="T30" s="38">
        <v>2000</v>
      </c>
      <c r="U30" s="58"/>
      <c r="V30" s="39"/>
      <c r="W30" s="63">
        <v>1696</v>
      </c>
      <c r="X30" s="59" t="s">
        <v>84</v>
      </c>
      <c r="Y30" s="3"/>
      <c r="Z30" s="3">
        <f t="shared" si="2"/>
        <v>18.099528301886792</v>
      </c>
      <c r="AA30" s="3">
        <f t="shared" si="3"/>
        <v>1.179245283018868</v>
      </c>
      <c r="AB30" s="3">
        <f t="shared" si="4"/>
        <v>0</v>
      </c>
      <c r="AC30" s="3">
        <f t="shared" si="5"/>
        <v>19.278773584905661</v>
      </c>
      <c r="AD30" s="3"/>
      <c r="AE30" s="36">
        <f t="shared" si="41"/>
        <v>23</v>
      </c>
      <c r="AF30" s="37">
        <f t="shared" si="42"/>
        <v>39243</v>
      </c>
      <c r="AG30" s="38">
        <v>26000</v>
      </c>
      <c r="AH30" s="38">
        <v>3000</v>
      </c>
      <c r="AI30" s="58"/>
      <c r="AJ30" s="39"/>
      <c r="AK30" s="60">
        <v>854</v>
      </c>
      <c r="AL30" s="59" t="s">
        <v>136</v>
      </c>
      <c r="AM30" s="3"/>
      <c r="AN30" s="3">
        <f t="shared" si="6"/>
        <v>30.444964871194379</v>
      </c>
      <c r="AO30" s="3">
        <f t="shared" si="7"/>
        <v>3.5128805620608898</v>
      </c>
      <c r="AP30" s="3">
        <f t="shared" si="8"/>
        <v>0</v>
      </c>
      <c r="AQ30" s="3">
        <f t="shared" si="9"/>
        <v>33.957845433255272</v>
      </c>
      <c r="AR30" s="3"/>
      <c r="AS30" s="36">
        <f t="shared" si="43"/>
        <v>23</v>
      </c>
      <c r="AT30" s="37">
        <f t="shared" si="44"/>
        <v>39607</v>
      </c>
      <c r="AU30" s="38">
        <f>(7343.95+10818-25)+(7343.95+10818-25)</f>
        <v>36273.9</v>
      </c>
      <c r="AV30" s="38">
        <v>5000</v>
      </c>
      <c r="AW30" s="39"/>
      <c r="AX30" s="39"/>
      <c r="AY30" s="60">
        <v>1342</v>
      </c>
      <c r="AZ30" s="59" t="s">
        <v>188</v>
      </c>
      <c r="BA30" s="3"/>
      <c r="BB30" s="3">
        <f t="shared" si="10"/>
        <v>23.193030690537086</v>
      </c>
      <c r="BC30" s="3">
        <f t="shared" si="11"/>
        <v>3.1969309462915603</v>
      </c>
      <c r="BD30" s="3">
        <f t="shared" si="12"/>
        <v>0</v>
      </c>
      <c r="BE30" s="3">
        <f t="shared" si="13"/>
        <v>26.389961636828644</v>
      </c>
      <c r="BG30" s="36">
        <f t="shared" si="45"/>
        <v>23</v>
      </c>
      <c r="BH30" s="37">
        <f t="shared" si="46"/>
        <v>39971</v>
      </c>
      <c r="BI30" s="38">
        <f>24000+(7343.95+10818-25)</f>
        <v>42136.95</v>
      </c>
      <c r="BJ30" s="38">
        <v>6000</v>
      </c>
      <c r="BK30" s="38">
        <v>1000</v>
      </c>
      <c r="BL30" s="38"/>
      <c r="BM30" s="60">
        <v>1352</v>
      </c>
      <c r="BN30" s="59" t="s">
        <v>240</v>
      </c>
      <c r="BO30" s="3"/>
      <c r="BP30" s="3">
        <f t="shared" si="14"/>
        <v>31.166383136094673</v>
      </c>
      <c r="BQ30" s="3">
        <f t="shared" si="15"/>
        <v>4.4378698224852071</v>
      </c>
      <c r="BR30" s="3">
        <f t="shared" si="16"/>
        <v>0.73964497041420119</v>
      </c>
      <c r="BS30" s="3">
        <f t="shared" si="17"/>
        <v>36.343897928994082</v>
      </c>
      <c r="BU30" s="36">
        <f t="shared" si="47"/>
        <v>23</v>
      </c>
      <c r="BV30" s="37">
        <f t="shared" si="48"/>
        <v>40335</v>
      </c>
      <c r="BW30" s="38">
        <f>19000+((4798.2-163-24-75-10+8743+2014)+(4798.2-163-24-75-10+8743+2014))</f>
        <v>49566.400000000001</v>
      </c>
      <c r="BX30" s="40">
        <v>1000</v>
      </c>
      <c r="BY30" s="40">
        <v>1000</v>
      </c>
      <c r="BZ30" s="38"/>
      <c r="CA30" s="39">
        <v>1975</v>
      </c>
      <c r="CB30" s="65">
        <v>40335</v>
      </c>
      <c r="CC30" s="3"/>
      <c r="CD30" s="3">
        <f t="shared" si="18"/>
        <v>25.096911392405065</v>
      </c>
      <c r="CE30" s="3">
        <f t="shared" si="19"/>
        <v>0.50632911392405067</v>
      </c>
      <c r="CF30" s="3">
        <f t="shared" si="20"/>
        <v>0.50632911392405067</v>
      </c>
      <c r="CG30" s="3">
        <f t="shared" si="21"/>
        <v>26.109569620253165</v>
      </c>
      <c r="CI30" s="36">
        <f t="shared" si="49"/>
        <v>23</v>
      </c>
      <c r="CJ30" s="37">
        <f t="shared" si="50"/>
        <v>40699</v>
      </c>
      <c r="CK30" s="40">
        <v>78000</v>
      </c>
      <c r="CL30" s="40">
        <v>1000</v>
      </c>
      <c r="CM30" s="40">
        <v>20000</v>
      </c>
      <c r="CN30" s="38"/>
      <c r="CO30" s="39">
        <v>1338</v>
      </c>
      <c r="CP30" s="65">
        <v>40699</v>
      </c>
      <c r="CQ30" s="3"/>
      <c r="CR30" s="3">
        <f t="shared" si="22"/>
        <v>58.295964125560538</v>
      </c>
      <c r="CS30" s="3">
        <f t="shared" si="23"/>
        <v>0.74738415545590431</v>
      </c>
      <c r="CT30" s="3">
        <f t="shared" si="24"/>
        <v>14.947683109118087</v>
      </c>
      <c r="CU30" s="3">
        <f t="shared" si="25"/>
        <v>73.991031390134523</v>
      </c>
      <c r="CW30" s="36">
        <f t="shared" si="51"/>
        <v>23</v>
      </c>
      <c r="CX30" s="37">
        <f t="shared" si="52"/>
        <v>41063</v>
      </c>
      <c r="CY30" s="40">
        <v>84615</v>
      </c>
      <c r="CZ30" s="73">
        <v>0</v>
      </c>
      <c r="DA30" s="70">
        <v>0</v>
      </c>
      <c r="DB30" s="70"/>
      <c r="DC30" s="71">
        <v>1414</v>
      </c>
      <c r="DD30" s="71">
        <f t="shared" si="36"/>
        <v>41063</v>
      </c>
      <c r="DE30" s="72"/>
      <c r="DF30" s="3">
        <f t="shared" si="26"/>
        <v>59.840876944837341</v>
      </c>
      <c r="DG30" s="3">
        <f t="shared" si="27"/>
        <v>0</v>
      </c>
      <c r="DH30" s="3">
        <f t="shared" si="28"/>
        <v>0</v>
      </c>
      <c r="DI30" s="3">
        <f t="shared" si="29"/>
        <v>59.840876944837341</v>
      </c>
      <c r="DK30" s="36">
        <f t="shared" si="53"/>
        <v>23</v>
      </c>
      <c r="DL30" s="37">
        <f t="shared" si="54"/>
        <v>41434</v>
      </c>
      <c r="DM30" s="73">
        <v>82000</v>
      </c>
      <c r="DN30" s="73">
        <v>1000</v>
      </c>
      <c r="DO30" s="70">
        <v>0</v>
      </c>
      <c r="DP30" s="70"/>
      <c r="DQ30" s="71">
        <v>1394</v>
      </c>
      <c r="DR30" s="71">
        <f t="shared" si="37"/>
        <v>41434</v>
      </c>
      <c r="DS30" s="72"/>
      <c r="DT30" s="3">
        <f t="shared" si="30"/>
        <v>58.823529411764703</v>
      </c>
      <c r="DU30" s="3">
        <f t="shared" si="31"/>
        <v>0.71736011477761841</v>
      </c>
      <c r="DV30" s="3">
        <f t="shared" si="32"/>
        <v>0</v>
      </c>
      <c r="DW30" s="3">
        <f t="shared" si="33"/>
        <v>59.540889526542323</v>
      </c>
    </row>
    <row r="31" spans="3:127">
      <c r="C31" s="36">
        <v>24</v>
      </c>
      <c r="D31" s="37">
        <f t="shared" si="38"/>
        <v>38515</v>
      </c>
      <c r="E31" s="38">
        <v>18000</v>
      </c>
      <c r="F31" s="38">
        <v>3000</v>
      </c>
      <c r="G31" s="58"/>
      <c r="H31" s="39"/>
      <c r="I31" s="58">
        <v>1508</v>
      </c>
      <c r="J31" s="59" t="s">
        <v>33</v>
      </c>
      <c r="K31" s="3"/>
      <c r="L31" s="3">
        <f t="shared" si="0"/>
        <v>11.936339522546419</v>
      </c>
      <c r="M31" s="3">
        <f t="shared" si="34"/>
        <v>1.9893899204244032</v>
      </c>
      <c r="N31" s="3">
        <f t="shared" si="1"/>
        <v>0</v>
      </c>
      <c r="O31" s="3">
        <f t="shared" si="35"/>
        <v>13.925729442970821</v>
      </c>
      <c r="Q31" s="36">
        <f t="shared" si="39"/>
        <v>24</v>
      </c>
      <c r="R31" s="37">
        <f t="shared" si="40"/>
        <v>38879</v>
      </c>
      <c r="S31" s="38">
        <f>(7167.73-18-25+6192.71)+(7167.73-18-25+6192.71)</f>
        <v>26634.879999999997</v>
      </c>
      <c r="T31" s="38">
        <v>4000</v>
      </c>
      <c r="U31" s="58"/>
      <c r="V31" s="39"/>
      <c r="W31" s="63">
        <v>1728</v>
      </c>
      <c r="X31" s="59" t="s">
        <v>85</v>
      </c>
      <c r="Y31" s="3"/>
      <c r="Z31" s="3">
        <f t="shared" si="2"/>
        <v>15.413703703703701</v>
      </c>
      <c r="AA31" s="3">
        <f t="shared" si="3"/>
        <v>2.3148148148148149</v>
      </c>
      <c r="AB31" s="3">
        <f t="shared" si="4"/>
        <v>0</v>
      </c>
      <c r="AC31" s="3">
        <f t="shared" si="5"/>
        <v>17.728518518518516</v>
      </c>
      <c r="AD31" s="3"/>
      <c r="AE31" s="36">
        <f t="shared" si="41"/>
        <v>24</v>
      </c>
      <c r="AF31" s="37">
        <f t="shared" si="42"/>
        <v>39250</v>
      </c>
      <c r="AG31" s="38">
        <v>32000</v>
      </c>
      <c r="AH31" s="38">
        <v>4000</v>
      </c>
      <c r="AI31" s="58"/>
      <c r="AJ31" s="39"/>
      <c r="AK31" s="60">
        <v>876</v>
      </c>
      <c r="AL31" s="59" t="s">
        <v>137</v>
      </c>
      <c r="AM31" s="3"/>
      <c r="AN31" s="3">
        <f t="shared" si="6"/>
        <v>36.529680365296805</v>
      </c>
      <c r="AO31" s="3">
        <f t="shared" si="7"/>
        <v>4.5662100456621006</v>
      </c>
      <c r="AP31" s="3">
        <f t="shared" si="8"/>
        <v>0</v>
      </c>
      <c r="AQ31" s="3">
        <f t="shared" si="9"/>
        <v>41.095890410958908</v>
      </c>
      <c r="AR31" s="3"/>
      <c r="AS31" s="36">
        <f t="shared" si="43"/>
        <v>24</v>
      </c>
      <c r="AT31" s="37">
        <f t="shared" si="44"/>
        <v>39614</v>
      </c>
      <c r="AU31" s="38">
        <f>(7761.69-25+9489.9-155-399-300-40-100)+(7761.69-25+9489.9-155-399-300-40-100)</f>
        <v>32465.18</v>
      </c>
      <c r="AV31" s="38">
        <v>4000</v>
      </c>
      <c r="AW31" s="39"/>
      <c r="AX31" s="39"/>
      <c r="AY31" s="60">
        <v>1291</v>
      </c>
      <c r="AZ31" s="59" t="s">
        <v>189</v>
      </c>
      <c r="BA31" s="3"/>
      <c r="BB31" s="3">
        <f t="shared" si="10"/>
        <v>21.528633952254641</v>
      </c>
      <c r="BC31" s="3">
        <f t="shared" si="11"/>
        <v>2.6525198938992043</v>
      </c>
      <c r="BD31" s="3">
        <f t="shared" si="12"/>
        <v>0</v>
      </c>
      <c r="BE31" s="3">
        <f t="shared" si="13"/>
        <v>24.181153846153844</v>
      </c>
      <c r="BG31" s="36">
        <f t="shared" si="45"/>
        <v>24</v>
      </c>
      <c r="BH31" s="37">
        <f t="shared" si="46"/>
        <v>39978</v>
      </c>
      <c r="BI31" s="38">
        <f>21000+(7103-146-100+7184.7+5993.14-200-250)</f>
        <v>40584.839999999997</v>
      </c>
      <c r="BJ31" s="38">
        <v>2000</v>
      </c>
      <c r="BK31" s="38">
        <v>1000</v>
      </c>
      <c r="BL31" s="38"/>
      <c r="BM31" s="60">
        <v>1110</v>
      </c>
      <c r="BN31" s="59" t="s">
        <v>241</v>
      </c>
      <c r="BO31" s="3"/>
      <c r="BP31" s="3">
        <f t="shared" si="14"/>
        <v>36.562918918918918</v>
      </c>
      <c r="BQ31" s="3">
        <f t="shared" si="15"/>
        <v>1.8018018018018018</v>
      </c>
      <c r="BR31" s="3">
        <f t="shared" si="16"/>
        <v>0.90090090090090091</v>
      </c>
      <c r="BS31" s="3">
        <f t="shared" si="17"/>
        <v>39.265621621621619</v>
      </c>
      <c r="BU31" s="36">
        <f t="shared" si="47"/>
        <v>24</v>
      </c>
      <c r="BV31" s="37">
        <f t="shared" si="48"/>
        <v>40342</v>
      </c>
      <c r="BW31" s="38">
        <f>19000+((4798.2-163-24-75-10+8743+2014)+(4798.2-163-24-75-10+8743+2014))</f>
        <v>49566.400000000001</v>
      </c>
      <c r="BX31" s="40">
        <v>2000</v>
      </c>
      <c r="BY31" s="40">
        <v>2000</v>
      </c>
      <c r="BZ31" s="38"/>
      <c r="CA31" s="39">
        <v>1846</v>
      </c>
      <c r="CB31" s="65">
        <v>40342</v>
      </c>
      <c r="CC31" s="3"/>
      <c r="CD31" s="3">
        <f t="shared" si="18"/>
        <v>26.850704225352114</v>
      </c>
      <c r="CE31" s="3">
        <f t="shared" si="19"/>
        <v>1.0834236186348862</v>
      </c>
      <c r="CF31" s="3">
        <f t="shared" si="20"/>
        <v>1.0834236186348862</v>
      </c>
      <c r="CG31" s="3">
        <f t="shared" si="21"/>
        <v>29.017551462621885</v>
      </c>
      <c r="CI31" s="36">
        <f t="shared" si="49"/>
        <v>24</v>
      </c>
      <c r="CJ31" s="37">
        <f t="shared" si="50"/>
        <v>40706</v>
      </c>
      <c r="CK31" s="40">
        <v>42000</v>
      </c>
      <c r="CL31" s="40">
        <v>2000</v>
      </c>
      <c r="CM31" s="40">
        <v>3000</v>
      </c>
      <c r="CN31" s="38"/>
      <c r="CO31" s="39">
        <v>1254</v>
      </c>
      <c r="CP31" s="65">
        <v>40706</v>
      </c>
      <c r="CQ31" s="3"/>
      <c r="CR31" s="3">
        <f t="shared" si="22"/>
        <v>33.492822966507177</v>
      </c>
      <c r="CS31" s="3">
        <f t="shared" si="23"/>
        <v>1.594896331738437</v>
      </c>
      <c r="CT31" s="3">
        <f t="shared" si="24"/>
        <v>2.3923444976076556</v>
      </c>
      <c r="CU31" s="3">
        <f t="shared" si="25"/>
        <v>37.480063795853269</v>
      </c>
      <c r="CW31" s="36">
        <f t="shared" si="51"/>
        <v>24</v>
      </c>
      <c r="CX31" s="37">
        <f t="shared" si="52"/>
        <v>41070</v>
      </c>
      <c r="CY31" s="40">
        <v>44823</v>
      </c>
      <c r="CZ31" s="70">
        <v>1000</v>
      </c>
      <c r="DA31" s="70">
        <v>0</v>
      </c>
      <c r="DB31" s="70"/>
      <c r="DC31" s="71">
        <v>1382</v>
      </c>
      <c r="DD31" s="71">
        <f t="shared" si="36"/>
        <v>41070</v>
      </c>
      <c r="DE31" s="72"/>
      <c r="DF31" s="3">
        <f t="shared" si="26"/>
        <v>32.433429811866858</v>
      </c>
      <c r="DG31" s="3">
        <f t="shared" si="27"/>
        <v>0.72358900144717797</v>
      </c>
      <c r="DH31" s="3">
        <f t="shared" si="28"/>
        <v>0</v>
      </c>
      <c r="DI31" s="3">
        <f t="shared" si="29"/>
        <v>33.157018813314039</v>
      </c>
      <c r="DK31" s="36">
        <f t="shared" si="53"/>
        <v>24</v>
      </c>
      <c r="DL31" s="37">
        <f t="shared" si="54"/>
        <v>41441</v>
      </c>
      <c r="DM31" s="70">
        <v>60000</v>
      </c>
      <c r="DN31" s="70">
        <v>1000</v>
      </c>
      <c r="DO31" s="70">
        <v>0</v>
      </c>
      <c r="DP31" s="70"/>
      <c r="DQ31" s="71">
        <v>1400</v>
      </c>
      <c r="DR31" s="71">
        <f t="shared" si="37"/>
        <v>41441</v>
      </c>
      <c r="DS31" s="72"/>
      <c r="DT31" s="3">
        <f t="shared" si="30"/>
        <v>42.857142857142854</v>
      </c>
      <c r="DU31" s="3">
        <f t="shared" si="31"/>
        <v>0.7142857142857143</v>
      </c>
      <c r="DV31" s="3">
        <f t="shared" si="32"/>
        <v>0</v>
      </c>
      <c r="DW31" s="3">
        <f t="shared" si="33"/>
        <v>43.571428571428569</v>
      </c>
    </row>
    <row r="32" spans="3:127">
      <c r="C32" s="36">
        <v>25</v>
      </c>
      <c r="D32" s="37">
        <f t="shared" si="38"/>
        <v>38522</v>
      </c>
      <c r="E32" s="38">
        <v>19000</v>
      </c>
      <c r="F32" s="38">
        <v>2000</v>
      </c>
      <c r="G32" s="58"/>
      <c r="H32" s="39"/>
      <c r="I32" s="58">
        <v>1712</v>
      </c>
      <c r="J32" s="59" t="s">
        <v>34</v>
      </c>
      <c r="K32" s="3"/>
      <c r="L32" s="3">
        <f t="shared" si="0"/>
        <v>11.098130841121495</v>
      </c>
      <c r="M32" s="3">
        <f t="shared" si="34"/>
        <v>1.1682242990654206</v>
      </c>
      <c r="N32" s="3">
        <f t="shared" si="1"/>
        <v>0</v>
      </c>
      <c r="O32" s="3">
        <f t="shared" si="35"/>
        <v>12.266355140186915</v>
      </c>
      <c r="Q32" s="36">
        <f t="shared" si="39"/>
        <v>25</v>
      </c>
      <c r="R32" s="37">
        <f t="shared" si="40"/>
        <v>38886</v>
      </c>
      <c r="S32" s="38">
        <f>(12221.64-1180+5222.06)+(12221.64-1180+5222.06)</f>
        <v>32527.4</v>
      </c>
      <c r="T32" s="38">
        <v>3000</v>
      </c>
      <c r="U32" s="58"/>
      <c r="V32" s="39"/>
      <c r="W32" s="63">
        <v>1804</v>
      </c>
      <c r="X32" s="59" t="s">
        <v>86</v>
      </c>
      <c r="Y32" s="3"/>
      <c r="Z32" s="3">
        <f t="shared" si="2"/>
        <v>18.030709534368071</v>
      </c>
      <c r="AA32" s="3">
        <f t="shared" si="3"/>
        <v>1.6629711751662972</v>
      </c>
      <c r="AB32" s="3">
        <f t="shared" si="4"/>
        <v>0</v>
      </c>
      <c r="AC32" s="3">
        <f t="shared" si="5"/>
        <v>19.69368070953437</v>
      </c>
      <c r="AD32" s="3"/>
      <c r="AE32" s="36">
        <f t="shared" si="41"/>
        <v>25</v>
      </c>
      <c r="AF32" s="37">
        <f t="shared" si="42"/>
        <v>39257</v>
      </c>
      <c r="AG32" s="38">
        <v>28000</v>
      </c>
      <c r="AH32" s="38">
        <v>6000</v>
      </c>
      <c r="AI32" s="58"/>
      <c r="AJ32" s="39"/>
      <c r="AK32" s="60">
        <v>746</v>
      </c>
      <c r="AL32" s="59" t="s">
        <v>138</v>
      </c>
      <c r="AM32" s="3"/>
      <c r="AN32" s="3">
        <f t="shared" si="6"/>
        <v>37.533512064343164</v>
      </c>
      <c r="AO32" s="3">
        <f t="shared" si="7"/>
        <v>8.0428954423592494</v>
      </c>
      <c r="AP32" s="3">
        <f t="shared" si="8"/>
        <v>0</v>
      </c>
      <c r="AQ32" s="3">
        <f t="shared" si="9"/>
        <v>45.576407506702409</v>
      </c>
      <c r="AR32" s="3"/>
      <c r="AS32" s="36">
        <f t="shared" si="43"/>
        <v>25</v>
      </c>
      <c r="AT32" s="37">
        <f t="shared" si="44"/>
        <v>39621</v>
      </c>
      <c r="AU32" s="38">
        <f>(9811.65-25+7151-84-324-10)+(9811.65-25+7151-84-324-10)</f>
        <v>33039.300000000003</v>
      </c>
      <c r="AV32" s="38">
        <v>8000</v>
      </c>
      <c r="AW32" s="39"/>
      <c r="AX32" s="39"/>
      <c r="AY32" s="60">
        <v>1239</v>
      </c>
      <c r="AZ32" s="59" t="s">
        <v>190</v>
      </c>
      <c r="BA32" s="3"/>
      <c r="BB32" s="3">
        <f t="shared" si="10"/>
        <v>19.298656542056076</v>
      </c>
      <c r="BC32" s="3">
        <f t="shared" si="11"/>
        <v>4.6728971962616823</v>
      </c>
      <c r="BD32" s="3">
        <f t="shared" si="12"/>
        <v>0</v>
      </c>
      <c r="BE32" s="3">
        <f t="shared" si="13"/>
        <v>23.971553738317759</v>
      </c>
      <c r="BG32" s="36">
        <f t="shared" si="45"/>
        <v>25</v>
      </c>
      <c r="BH32" s="37">
        <f t="shared" si="46"/>
        <v>39985</v>
      </c>
      <c r="BI32" s="38">
        <f>21000+(7103-146-100+7184.7+5993.14-200-250)</f>
        <v>40584.839999999997</v>
      </c>
      <c r="BJ32" s="38">
        <v>3000</v>
      </c>
      <c r="BK32" s="38">
        <v>0</v>
      </c>
      <c r="BL32" s="38"/>
      <c r="BM32" s="60">
        <v>1064</v>
      </c>
      <c r="BN32" s="59" t="s">
        <v>242</v>
      </c>
      <c r="BO32" s="3"/>
      <c r="BP32" s="3">
        <f t="shared" si="14"/>
        <v>38.143646616541353</v>
      </c>
      <c r="BQ32" s="3">
        <f t="shared" si="15"/>
        <v>2.8195488721804511</v>
      </c>
      <c r="BR32" s="3">
        <f t="shared" si="16"/>
        <v>0</v>
      </c>
      <c r="BS32" s="3">
        <f t="shared" si="17"/>
        <v>40.963195488721801</v>
      </c>
      <c r="BU32" s="36">
        <f t="shared" si="47"/>
        <v>25</v>
      </c>
      <c r="BV32" s="37">
        <f t="shared" si="48"/>
        <v>40349</v>
      </c>
      <c r="BW32" s="38">
        <f>15000+((9811.65-25+7151-84-324-10)+(9811.65-25+7151-84-324-10))</f>
        <v>48039.3</v>
      </c>
      <c r="BX32" s="40">
        <v>1000</v>
      </c>
      <c r="BY32" s="40">
        <v>4000</v>
      </c>
      <c r="BZ32" s="38"/>
      <c r="CA32" s="39">
        <v>1782</v>
      </c>
      <c r="CB32" s="65">
        <v>40349</v>
      </c>
      <c r="CC32" s="3"/>
      <c r="CD32" s="3">
        <f t="shared" si="18"/>
        <v>26.958080808080808</v>
      </c>
      <c r="CE32" s="3">
        <f t="shared" si="19"/>
        <v>0.5611672278338945</v>
      </c>
      <c r="CF32" s="3">
        <f t="shared" si="20"/>
        <v>2.244668911335578</v>
      </c>
      <c r="CG32" s="3">
        <f t="shared" si="21"/>
        <v>29.76391694725028</v>
      </c>
      <c r="CI32" s="36">
        <f t="shared" si="49"/>
        <v>25</v>
      </c>
      <c r="CJ32" s="37">
        <f t="shared" si="50"/>
        <v>40713</v>
      </c>
      <c r="CK32" s="40">
        <v>42000</v>
      </c>
      <c r="CL32" s="40">
        <v>0</v>
      </c>
      <c r="CM32" s="40">
        <v>0</v>
      </c>
      <c r="CN32" s="38"/>
      <c r="CO32" s="39">
        <v>1214</v>
      </c>
      <c r="CP32" s="65">
        <v>40713</v>
      </c>
      <c r="CQ32" s="3"/>
      <c r="CR32" s="3">
        <f t="shared" si="22"/>
        <v>34.596375617792418</v>
      </c>
      <c r="CS32" s="3">
        <f t="shared" si="23"/>
        <v>0</v>
      </c>
      <c r="CT32" s="3">
        <f t="shared" si="24"/>
        <v>0</v>
      </c>
      <c r="CU32" s="3">
        <f t="shared" si="25"/>
        <v>34.596375617792418</v>
      </c>
      <c r="CW32" s="36">
        <f t="shared" si="51"/>
        <v>25</v>
      </c>
      <c r="CX32" s="37">
        <f t="shared" si="52"/>
        <v>41077</v>
      </c>
      <c r="CY32" s="40">
        <v>42728</v>
      </c>
      <c r="CZ32" s="70">
        <v>0</v>
      </c>
      <c r="DA32" s="70">
        <v>0</v>
      </c>
      <c r="DB32" s="70"/>
      <c r="DC32" s="71">
        <v>1312</v>
      </c>
      <c r="DD32" s="71">
        <f t="shared" si="36"/>
        <v>41077</v>
      </c>
      <c r="DE32" s="72"/>
      <c r="DF32" s="3">
        <f t="shared" si="26"/>
        <v>32.56707317073171</v>
      </c>
      <c r="DG32" s="3">
        <f t="shared" si="27"/>
        <v>0</v>
      </c>
      <c r="DH32" s="3">
        <f t="shared" si="28"/>
        <v>0</v>
      </c>
      <c r="DI32" s="3">
        <f t="shared" si="29"/>
        <v>32.56707317073171</v>
      </c>
      <c r="DK32" s="36">
        <f t="shared" si="53"/>
        <v>25</v>
      </c>
      <c r="DL32" s="37">
        <f t="shared" si="54"/>
        <v>41448</v>
      </c>
      <c r="DM32" s="70">
        <v>106000</v>
      </c>
      <c r="DN32" s="70">
        <v>1000</v>
      </c>
      <c r="DO32" s="70">
        <v>0</v>
      </c>
      <c r="DP32" s="70"/>
      <c r="DQ32" s="71">
        <v>1440</v>
      </c>
      <c r="DR32" s="71">
        <f t="shared" si="37"/>
        <v>41448</v>
      </c>
      <c r="DS32" s="72"/>
      <c r="DT32" s="3">
        <f t="shared" si="30"/>
        <v>73.611111111111114</v>
      </c>
      <c r="DU32" s="3">
        <f t="shared" si="31"/>
        <v>0.69444444444444442</v>
      </c>
      <c r="DV32" s="3">
        <f t="shared" si="32"/>
        <v>0</v>
      </c>
      <c r="DW32" s="3">
        <f t="shared" si="33"/>
        <v>74.305555555555557</v>
      </c>
    </row>
    <row r="33" spans="3:127">
      <c r="C33" s="36">
        <v>26</v>
      </c>
      <c r="D33" s="37">
        <f t="shared" si="38"/>
        <v>38529</v>
      </c>
      <c r="E33" s="38">
        <v>22000</v>
      </c>
      <c r="F33" s="38">
        <v>6000</v>
      </c>
      <c r="G33" s="58"/>
      <c r="H33" s="39"/>
      <c r="I33" s="58">
        <v>1884</v>
      </c>
      <c r="J33" s="59" t="s">
        <v>35</v>
      </c>
      <c r="K33" s="3"/>
      <c r="L33" s="3">
        <f t="shared" si="0"/>
        <v>11.677282377919321</v>
      </c>
      <c r="M33" s="3">
        <f t="shared" si="34"/>
        <v>3.1847133757961785</v>
      </c>
      <c r="N33" s="3">
        <f t="shared" si="1"/>
        <v>0</v>
      </c>
      <c r="O33" s="3">
        <f t="shared" si="35"/>
        <v>14.861995753715499</v>
      </c>
      <c r="Q33" s="36">
        <f t="shared" si="39"/>
        <v>26</v>
      </c>
      <c r="R33" s="37">
        <f t="shared" si="40"/>
        <v>38893</v>
      </c>
      <c r="S33" s="38">
        <f>(5728+8355.13)+(5728+8355.13)</f>
        <v>28166.26</v>
      </c>
      <c r="T33" s="38">
        <v>4000</v>
      </c>
      <c r="U33" s="58"/>
      <c r="V33" s="39"/>
      <c r="W33" s="63">
        <v>1820</v>
      </c>
      <c r="X33" s="59" t="s">
        <v>87</v>
      </c>
      <c r="Y33" s="3"/>
      <c r="Z33" s="3">
        <f t="shared" si="2"/>
        <v>15.475967032967032</v>
      </c>
      <c r="AA33" s="3">
        <f t="shared" si="3"/>
        <v>2.197802197802198</v>
      </c>
      <c r="AB33" s="3">
        <f t="shared" si="4"/>
        <v>0</v>
      </c>
      <c r="AC33" s="3">
        <f t="shared" si="5"/>
        <v>17.673769230769231</v>
      </c>
      <c r="AD33" s="3"/>
      <c r="AE33" s="36">
        <f t="shared" si="41"/>
        <v>26</v>
      </c>
      <c r="AF33" s="37">
        <f t="shared" si="42"/>
        <v>39264</v>
      </c>
      <c r="AG33" s="38">
        <v>30000</v>
      </c>
      <c r="AH33" s="38">
        <v>4000</v>
      </c>
      <c r="AI33" s="58"/>
      <c r="AJ33" s="39"/>
      <c r="AK33" s="60">
        <v>920</v>
      </c>
      <c r="AL33" s="59" t="s">
        <v>139</v>
      </c>
      <c r="AM33" s="3"/>
      <c r="AN33" s="3">
        <f t="shared" si="6"/>
        <v>32.608695652173914</v>
      </c>
      <c r="AO33" s="3">
        <f t="shared" si="7"/>
        <v>4.3478260869565215</v>
      </c>
      <c r="AP33" s="3">
        <f t="shared" si="8"/>
        <v>0</v>
      </c>
      <c r="AQ33" s="3">
        <f t="shared" si="9"/>
        <v>36.956521739130437</v>
      </c>
      <c r="AR33" s="3"/>
      <c r="AS33" s="36">
        <f t="shared" si="43"/>
        <v>26</v>
      </c>
      <c r="AT33" s="37">
        <f t="shared" si="44"/>
        <v>39628</v>
      </c>
      <c r="AU33" s="38">
        <f>(16706.5-227-20-25+4716-171)+(16706.5-227-20-25+4716-171)</f>
        <v>41959</v>
      </c>
      <c r="AV33" s="38">
        <v>11000</v>
      </c>
      <c r="AW33" s="39"/>
      <c r="AX33" s="39"/>
      <c r="AY33" s="60">
        <v>1377</v>
      </c>
      <c r="AZ33" s="59" t="s">
        <v>191</v>
      </c>
      <c r="BA33" s="3"/>
      <c r="BB33" s="3">
        <f t="shared" si="10"/>
        <v>22.271231422505309</v>
      </c>
      <c r="BC33" s="3">
        <f t="shared" si="11"/>
        <v>5.8386411889596603</v>
      </c>
      <c r="BD33" s="3">
        <f t="shared" si="12"/>
        <v>0</v>
      </c>
      <c r="BE33" s="3">
        <f t="shared" si="13"/>
        <v>28.109872611464969</v>
      </c>
      <c r="BG33" s="36">
        <f t="shared" si="45"/>
        <v>26</v>
      </c>
      <c r="BH33" s="37">
        <f t="shared" si="46"/>
        <v>39992</v>
      </c>
      <c r="BI33" s="38">
        <f>12000+(16706.5-227-20-25+4716-171)</f>
        <v>32979.5</v>
      </c>
      <c r="BJ33" s="38">
        <v>3000</v>
      </c>
      <c r="BK33" s="38">
        <v>1000</v>
      </c>
      <c r="BL33" s="38"/>
      <c r="BM33" s="60">
        <v>1162</v>
      </c>
      <c r="BN33" s="59" t="s">
        <v>243</v>
      </c>
      <c r="BO33" s="3"/>
      <c r="BP33" s="3">
        <f t="shared" si="14"/>
        <v>28.381669535283994</v>
      </c>
      <c r="BQ33" s="3">
        <f t="shared" si="15"/>
        <v>2.5817555938037864</v>
      </c>
      <c r="BR33" s="3">
        <f t="shared" si="16"/>
        <v>0.86058519793459554</v>
      </c>
      <c r="BS33" s="3">
        <f t="shared" si="17"/>
        <v>31.824010327022378</v>
      </c>
      <c r="BU33" s="36">
        <f t="shared" si="47"/>
        <v>26</v>
      </c>
      <c r="BV33" s="37">
        <f t="shared" si="48"/>
        <v>40356</v>
      </c>
      <c r="BW33" s="38">
        <f>22000+((16706.5-227-20-25+4716-171)+(16706.5-227-20-25+4716-171))</f>
        <v>63959</v>
      </c>
      <c r="BX33" s="40">
        <v>2000</v>
      </c>
      <c r="BY33" s="40">
        <v>1000</v>
      </c>
      <c r="BZ33" s="38"/>
      <c r="CA33" s="39">
        <v>1799</v>
      </c>
      <c r="CB33" s="65">
        <v>40356</v>
      </c>
      <c r="CC33" s="3"/>
      <c r="CD33" s="3">
        <f t="shared" si="18"/>
        <v>35.552529182879375</v>
      </c>
      <c r="CE33" s="3">
        <f t="shared" si="19"/>
        <v>1.1117287381878822</v>
      </c>
      <c r="CF33" s="3">
        <f t="shared" si="20"/>
        <v>0.5558643690939411</v>
      </c>
      <c r="CG33" s="3">
        <f t="shared" si="21"/>
        <v>37.2201222901612</v>
      </c>
      <c r="CI33" s="36">
        <f t="shared" si="49"/>
        <v>26</v>
      </c>
      <c r="CJ33" s="37">
        <f t="shared" si="50"/>
        <v>40720</v>
      </c>
      <c r="CK33" s="40">
        <v>56000</v>
      </c>
      <c r="CL33" s="40">
        <v>0</v>
      </c>
      <c r="CM33" s="40">
        <v>0</v>
      </c>
      <c r="CN33" s="38"/>
      <c r="CO33" s="39">
        <v>1202</v>
      </c>
      <c r="CP33" s="65">
        <v>40720</v>
      </c>
      <c r="CQ33" s="3"/>
      <c r="CR33" s="3">
        <f t="shared" si="22"/>
        <v>46.58901830282862</v>
      </c>
      <c r="CS33" s="3">
        <f t="shared" si="23"/>
        <v>0</v>
      </c>
      <c r="CT33" s="3">
        <f t="shared" si="24"/>
        <v>0</v>
      </c>
      <c r="CU33" s="3">
        <f t="shared" si="25"/>
        <v>46.58901830282862</v>
      </c>
      <c r="CW33" s="36">
        <f t="shared" si="51"/>
        <v>26</v>
      </c>
      <c r="CX33" s="37">
        <f t="shared" si="52"/>
        <v>41084</v>
      </c>
      <c r="CY33" s="40">
        <v>63611</v>
      </c>
      <c r="CZ33" s="70">
        <v>1000</v>
      </c>
      <c r="DA33" s="70">
        <v>0</v>
      </c>
      <c r="DB33" s="70"/>
      <c r="DC33" s="71">
        <v>1422</v>
      </c>
      <c r="DD33" s="71">
        <f t="shared" si="36"/>
        <v>41084</v>
      </c>
      <c r="DE33" s="72"/>
      <c r="DF33" s="3">
        <f t="shared" si="26"/>
        <v>44.733473980309427</v>
      </c>
      <c r="DG33" s="3">
        <f t="shared" si="27"/>
        <v>0.70323488045007032</v>
      </c>
      <c r="DH33" s="3">
        <f t="shared" si="28"/>
        <v>0</v>
      </c>
      <c r="DI33" s="3">
        <f t="shared" si="29"/>
        <v>45.436708860759495</v>
      </c>
      <c r="DK33" s="36">
        <f t="shared" si="53"/>
        <v>26</v>
      </c>
      <c r="DL33" s="37">
        <f t="shared" si="54"/>
        <v>41455</v>
      </c>
      <c r="DM33" s="70">
        <v>100000</v>
      </c>
      <c r="DN33" s="70">
        <v>0</v>
      </c>
      <c r="DO33" s="70">
        <v>0</v>
      </c>
      <c r="DP33" s="70"/>
      <c r="DQ33" s="71">
        <v>1494</v>
      </c>
      <c r="DR33" s="71">
        <f t="shared" si="37"/>
        <v>41455</v>
      </c>
      <c r="DS33" s="72"/>
      <c r="DT33" s="3">
        <f t="shared" si="30"/>
        <v>66.934404283801868</v>
      </c>
      <c r="DU33" s="3">
        <f t="shared" si="31"/>
        <v>0</v>
      </c>
      <c r="DV33" s="3">
        <f t="shared" si="32"/>
        <v>0</v>
      </c>
      <c r="DW33" s="3">
        <f t="shared" si="33"/>
        <v>66.934404283801868</v>
      </c>
    </row>
    <row r="34" spans="3:127">
      <c r="C34" s="36">
        <v>27</v>
      </c>
      <c r="D34" s="37">
        <f t="shared" si="38"/>
        <v>38536</v>
      </c>
      <c r="E34" s="38">
        <v>21000</v>
      </c>
      <c r="F34" s="38">
        <v>3000</v>
      </c>
      <c r="G34" s="58"/>
      <c r="H34" s="39"/>
      <c r="I34" s="58">
        <v>1536</v>
      </c>
      <c r="J34" s="59" t="s">
        <v>36</v>
      </c>
      <c r="K34" s="3"/>
      <c r="L34" s="3">
        <f t="shared" si="0"/>
        <v>13.671875</v>
      </c>
      <c r="M34" s="3">
        <f t="shared" si="34"/>
        <v>1.953125</v>
      </c>
      <c r="N34" s="3">
        <f t="shared" si="1"/>
        <v>0</v>
      </c>
      <c r="O34" s="3">
        <f t="shared" si="35"/>
        <v>15.625</v>
      </c>
      <c r="Q34" s="36">
        <f t="shared" si="39"/>
        <v>27</v>
      </c>
      <c r="R34" s="37">
        <f t="shared" si="40"/>
        <v>38900</v>
      </c>
      <c r="S34" s="38">
        <f>(8615.02+7315-100+3210)+(8615.02+7315-100+3210)</f>
        <v>38080.04</v>
      </c>
      <c r="T34" s="38">
        <v>6000</v>
      </c>
      <c r="U34" s="58"/>
      <c r="V34" s="39"/>
      <c r="W34" s="63">
        <v>2032</v>
      </c>
      <c r="X34" s="59" t="s">
        <v>88</v>
      </c>
      <c r="Y34" s="3"/>
      <c r="Z34" s="3">
        <f t="shared" si="2"/>
        <v>18.740177165354332</v>
      </c>
      <c r="AA34" s="3">
        <f t="shared" si="3"/>
        <v>2.9527559055118111</v>
      </c>
      <c r="AB34" s="3">
        <f t="shared" si="4"/>
        <v>0</v>
      </c>
      <c r="AC34" s="3">
        <f t="shared" si="5"/>
        <v>21.692933070866143</v>
      </c>
      <c r="AD34" s="3"/>
      <c r="AE34" s="36">
        <f t="shared" si="41"/>
        <v>27</v>
      </c>
      <c r="AF34" s="37">
        <f t="shared" si="42"/>
        <v>39271</v>
      </c>
      <c r="AG34" s="38">
        <v>32000</v>
      </c>
      <c r="AH34" s="38">
        <v>6000</v>
      </c>
      <c r="AI34" s="58"/>
      <c r="AJ34" s="39"/>
      <c r="AK34" s="60">
        <v>892</v>
      </c>
      <c r="AL34" s="59" t="s">
        <v>140</v>
      </c>
      <c r="AM34" s="3"/>
      <c r="AN34" s="3">
        <f t="shared" si="6"/>
        <v>35.874439461883405</v>
      </c>
      <c r="AO34" s="3">
        <f t="shared" si="7"/>
        <v>6.7264573991031389</v>
      </c>
      <c r="AP34" s="3">
        <f t="shared" si="8"/>
        <v>0</v>
      </c>
      <c r="AQ34" s="3">
        <f t="shared" si="9"/>
        <v>42.600896860986545</v>
      </c>
      <c r="AR34" s="3"/>
      <c r="AS34" s="36">
        <f t="shared" si="43"/>
        <v>27</v>
      </c>
      <c r="AT34" s="37">
        <f t="shared" si="44"/>
        <v>39635</v>
      </c>
      <c r="AU34" s="38">
        <f>(9511.35-470-25+8138.6)+(9511.35-470-25+8138.6)</f>
        <v>34309.9</v>
      </c>
      <c r="AV34" s="38">
        <v>7000</v>
      </c>
      <c r="AW34" s="39"/>
      <c r="AX34" s="39"/>
      <c r="AY34" s="60">
        <v>1408</v>
      </c>
      <c r="AZ34" s="59" t="s">
        <v>192</v>
      </c>
      <c r="BA34" s="3"/>
      <c r="BB34" s="3">
        <f t="shared" si="10"/>
        <v>22.337174479166666</v>
      </c>
      <c r="BC34" s="3">
        <f t="shared" si="11"/>
        <v>4.557291666666667</v>
      </c>
      <c r="BD34" s="3">
        <f t="shared" si="12"/>
        <v>0</v>
      </c>
      <c r="BE34" s="3">
        <f t="shared" si="13"/>
        <v>26.894466145833334</v>
      </c>
      <c r="BG34" s="36">
        <f t="shared" si="45"/>
        <v>27</v>
      </c>
      <c r="BH34" s="37">
        <f t="shared" si="46"/>
        <v>39999</v>
      </c>
      <c r="BI34" s="38">
        <f>19000+(9511.35-470-25+8138.6)</f>
        <v>36154.949999999997</v>
      </c>
      <c r="BJ34" s="38">
        <v>3000</v>
      </c>
      <c r="BK34" s="38">
        <v>1000</v>
      </c>
      <c r="BL34" s="38"/>
      <c r="BM34" s="60">
        <v>1152</v>
      </c>
      <c r="BN34" s="59" t="s">
        <v>244</v>
      </c>
      <c r="BO34" s="3"/>
      <c r="BP34" s="3">
        <f t="shared" si="14"/>
        <v>31.38450520833333</v>
      </c>
      <c r="BQ34" s="3">
        <f t="shared" si="15"/>
        <v>2.6041666666666665</v>
      </c>
      <c r="BR34" s="3">
        <f t="shared" si="16"/>
        <v>0.86805555555555558</v>
      </c>
      <c r="BS34" s="3">
        <f t="shared" si="17"/>
        <v>34.856727430555551</v>
      </c>
      <c r="BU34" s="36">
        <f t="shared" si="47"/>
        <v>27</v>
      </c>
      <c r="BV34" s="37">
        <f t="shared" si="48"/>
        <v>40363</v>
      </c>
      <c r="BW34" s="38">
        <f>19000+((4798.2-163-24-75-10+8743+2014)+(4798.2-163-24-75-10+8743+2014))</f>
        <v>49566.400000000001</v>
      </c>
      <c r="BX34" s="40">
        <v>1000</v>
      </c>
      <c r="BY34" s="40">
        <v>1000</v>
      </c>
      <c r="BZ34" s="38"/>
      <c r="CA34" s="39">
        <v>2008</v>
      </c>
      <c r="CB34" s="65">
        <v>40363</v>
      </c>
      <c r="CC34" s="3"/>
      <c r="CD34" s="3">
        <f t="shared" si="18"/>
        <v>24.684462151394424</v>
      </c>
      <c r="CE34" s="3">
        <f t="shared" si="19"/>
        <v>0.49800796812749004</v>
      </c>
      <c r="CF34" s="3">
        <f t="shared" si="20"/>
        <v>0.49800796812749004</v>
      </c>
      <c r="CG34" s="3">
        <f t="shared" si="21"/>
        <v>25.680478087649401</v>
      </c>
      <c r="CI34" s="36">
        <f t="shared" si="49"/>
        <v>27</v>
      </c>
      <c r="CJ34" s="37">
        <f t="shared" si="50"/>
        <v>40727</v>
      </c>
      <c r="CK34" s="40">
        <v>54000</v>
      </c>
      <c r="CL34" s="40">
        <v>0</v>
      </c>
      <c r="CM34" s="40">
        <v>0</v>
      </c>
      <c r="CN34" s="38"/>
      <c r="CO34" s="39">
        <v>1364</v>
      </c>
      <c r="CP34" s="65">
        <v>40727</v>
      </c>
      <c r="CQ34" s="3"/>
      <c r="CR34" s="3">
        <f t="shared" si="22"/>
        <v>39.589442815249264</v>
      </c>
      <c r="CS34" s="3">
        <f t="shared" si="23"/>
        <v>0</v>
      </c>
      <c r="CT34" s="3">
        <f t="shared" si="24"/>
        <v>0</v>
      </c>
      <c r="CU34" s="3">
        <f t="shared" si="25"/>
        <v>39.589442815249264</v>
      </c>
      <c r="CW34" s="36">
        <f t="shared" si="51"/>
        <v>27</v>
      </c>
      <c r="CX34" s="37">
        <f t="shared" si="52"/>
        <v>41091</v>
      </c>
      <c r="CY34" s="40">
        <v>54821</v>
      </c>
      <c r="CZ34" s="70">
        <v>7000</v>
      </c>
      <c r="DA34" s="70">
        <v>0</v>
      </c>
      <c r="DB34" s="70"/>
      <c r="DC34" s="71">
        <v>1388</v>
      </c>
      <c r="DD34" s="71">
        <f t="shared" si="36"/>
        <v>41091</v>
      </c>
      <c r="DE34" s="72"/>
      <c r="DF34" s="3">
        <f t="shared" si="26"/>
        <v>39.496397694524497</v>
      </c>
      <c r="DG34" s="3">
        <f t="shared" si="27"/>
        <v>5.043227665706052</v>
      </c>
      <c r="DH34" s="3">
        <f t="shared" si="28"/>
        <v>0</v>
      </c>
      <c r="DI34" s="3">
        <f t="shared" si="29"/>
        <v>44.539625360230545</v>
      </c>
      <c r="DK34" s="36">
        <f t="shared" si="53"/>
        <v>27</v>
      </c>
      <c r="DL34" s="37">
        <f t="shared" si="54"/>
        <v>41462</v>
      </c>
      <c r="DM34" s="70">
        <v>72000</v>
      </c>
      <c r="DN34" s="70">
        <v>0</v>
      </c>
      <c r="DO34" s="70">
        <v>0</v>
      </c>
      <c r="DP34" s="70"/>
      <c r="DQ34" s="71">
        <v>1248</v>
      </c>
      <c r="DR34" s="71">
        <f t="shared" si="37"/>
        <v>41462</v>
      </c>
      <c r="DS34" s="72"/>
      <c r="DT34" s="3">
        <f t="shared" si="30"/>
        <v>57.692307692307693</v>
      </c>
      <c r="DU34" s="3">
        <f t="shared" si="31"/>
        <v>0</v>
      </c>
      <c r="DV34" s="3">
        <f t="shared" si="32"/>
        <v>0</v>
      </c>
      <c r="DW34" s="3">
        <f t="shared" si="33"/>
        <v>57.692307692307693</v>
      </c>
    </row>
    <row r="35" spans="3:127">
      <c r="C35" s="36">
        <v>28</v>
      </c>
      <c r="D35" s="37">
        <f t="shared" si="38"/>
        <v>38543</v>
      </c>
      <c r="E35" s="38">
        <v>32000</v>
      </c>
      <c r="F35" s="38">
        <v>3000</v>
      </c>
      <c r="G35" s="58"/>
      <c r="H35" s="39"/>
      <c r="I35" s="58">
        <v>1812</v>
      </c>
      <c r="J35" s="59" t="s">
        <v>37</v>
      </c>
      <c r="K35" s="3"/>
      <c r="L35" s="3">
        <f t="shared" si="0"/>
        <v>17.660044150110377</v>
      </c>
      <c r="M35" s="3">
        <f t="shared" si="34"/>
        <v>1.6556291390728477</v>
      </c>
      <c r="N35" s="3">
        <f t="shared" si="1"/>
        <v>0</v>
      </c>
      <c r="O35" s="3">
        <f t="shared" si="35"/>
        <v>19.315673289183223</v>
      </c>
      <c r="Q35" s="36">
        <f t="shared" si="39"/>
        <v>28</v>
      </c>
      <c r="R35" s="37">
        <f t="shared" si="40"/>
        <v>38907</v>
      </c>
      <c r="S35" s="38">
        <f>(8967-10-150+5565)+(8967-10-150+5565)</f>
        <v>28744</v>
      </c>
      <c r="T35" s="38">
        <v>2000</v>
      </c>
      <c r="U35" s="58"/>
      <c r="V35" s="39"/>
      <c r="W35" s="63">
        <v>1912</v>
      </c>
      <c r="X35" s="59" t="s">
        <v>89</v>
      </c>
      <c r="Y35" s="3"/>
      <c r="Z35" s="3">
        <f t="shared" si="2"/>
        <v>15.03347280334728</v>
      </c>
      <c r="AA35" s="3">
        <f t="shared" si="3"/>
        <v>1.0460251046025104</v>
      </c>
      <c r="AB35" s="3">
        <f t="shared" si="4"/>
        <v>0</v>
      </c>
      <c r="AC35" s="3">
        <f t="shared" si="5"/>
        <v>16.07949790794979</v>
      </c>
      <c r="AD35" s="3"/>
      <c r="AE35" s="36">
        <f t="shared" si="41"/>
        <v>28</v>
      </c>
      <c r="AF35" s="37">
        <f t="shared" si="42"/>
        <v>39278</v>
      </c>
      <c r="AG35" s="38">
        <v>34000</v>
      </c>
      <c r="AH35" s="38">
        <v>27000</v>
      </c>
      <c r="AI35" s="58"/>
      <c r="AJ35" s="39"/>
      <c r="AK35" s="60">
        <v>920</v>
      </c>
      <c r="AL35" s="59" t="s">
        <v>141</v>
      </c>
      <c r="AM35" s="3"/>
      <c r="AN35" s="3">
        <f t="shared" si="6"/>
        <v>36.956521739130437</v>
      </c>
      <c r="AO35" s="3">
        <f t="shared" si="7"/>
        <v>29.347826086956523</v>
      </c>
      <c r="AP35" s="3">
        <f t="shared" si="8"/>
        <v>0</v>
      </c>
      <c r="AQ35" s="3">
        <f t="shared" si="9"/>
        <v>66.304347826086968</v>
      </c>
      <c r="AR35" s="3"/>
      <c r="AS35" s="36">
        <f t="shared" si="43"/>
        <v>28</v>
      </c>
      <c r="AT35" s="37">
        <f t="shared" si="44"/>
        <v>39642</v>
      </c>
      <c r="AU35" s="38">
        <f>(10337.55-171-25-1005-400+10863-40-25-40)+(10337.55-171-25-1005-400+10863-40-25-40)</f>
        <v>38989.1</v>
      </c>
      <c r="AV35" s="38">
        <v>5000</v>
      </c>
      <c r="AW35" s="39"/>
      <c r="AX35" s="39"/>
      <c r="AY35" s="60">
        <v>1387</v>
      </c>
      <c r="AZ35" s="59" t="s">
        <v>193</v>
      </c>
      <c r="BA35" s="3"/>
      <c r="BB35" s="3">
        <f t="shared" si="10"/>
        <v>21.517163355408389</v>
      </c>
      <c r="BC35" s="3">
        <f t="shared" si="11"/>
        <v>2.759381898454746</v>
      </c>
      <c r="BD35" s="3">
        <f t="shared" si="12"/>
        <v>0</v>
      </c>
      <c r="BE35" s="3">
        <f t="shared" si="13"/>
        <v>24.276545253863134</v>
      </c>
      <c r="BG35" s="36">
        <f t="shared" si="45"/>
        <v>28</v>
      </c>
      <c r="BH35" s="37">
        <f t="shared" si="46"/>
        <v>40006</v>
      </c>
      <c r="BI35" s="38">
        <f>18000+(10337.55-171-25-1005-400+10863-40-25-40)</f>
        <v>37494.550000000003</v>
      </c>
      <c r="BJ35" s="38">
        <v>8000</v>
      </c>
      <c r="BK35" s="38">
        <v>0</v>
      </c>
      <c r="BL35" s="38"/>
      <c r="BM35" s="60">
        <v>1232</v>
      </c>
      <c r="BN35" s="59" t="s">
        <v>245</v>
      </c>
      <c r="BO35" s="3"/>
      <c r="BP35" s="3">
        <f t="shared" si="14"/>
        <v>30.433887987012991</v>
      </c>
      <c r="BQ35" s="3">
        <f t="shared" si="15"/>
        <v>6.4935064935064934</v>
      </c>
      <c r="BR35" s="3">
        <f t="shared" si="16"/>
        <v>0</v>
      </c>
      <c r="BS35" s="3">
        <f t="shared" si="17"/>
        <v>36.927394480519482</v>
      </c>
      <c r="BU35" s="36">
        <f t="shared" si="47"/>
        <v>28</v>
      </c>
      <c r="BV35" s="37">
        <f t="shared" si="48"/>
        <v>40370</v>
      </c>
      <c r="BW35" s="38">
        <v>50000</v>
      </c>
      <c r="BX35" s="40">
        <v>1000</v>
      </c>
      <c r="BY35" s="40">
        <v>2000</v>
      </c>
      <c r="BZ35" s="38"/>
      <c r="CA35" s="39">
        <v>1937</v>
      </c>
      <c r="CB35" s="65">
        <v>40370</v>
      </c>
      <c r="CC35" s="3"/>
      <c r="CD35" s="3">
        <f t="shared" si="18"/>
        <v>25.81311306143521</v>
      </c>
      <c r="CE35" s="3">
        <f t="shared" si="19"/>
        <v>0.51626226122870422</v>
      </c>
      <c r="CF35" s="3">
        <f t="shared" si="20"/>
        <v>1.0325245224574084</v>
      </c>
      <c r="CG35" s="3">
        <f t="shared" si="21"/>
        <v>27.361899845121322</v>
      </c>
      <c r="CI35" s="36">
        <f t="shared" si="49"/>
        <v>28</v>
      </c>
      <c r="CJ35" s="37">
        <f t="shared" si="50"/>
        <v>40734</v>
      </c>
      <c r="CK35" s="40">
        <v>40000</v>
      </c>
      <c r="CL35" s="40">
        <v>0</v>
      </c>
      <c r="CM35" s="40">
        <v>0</v>
      </c>
      <c r="CN35" s="38"/>
      <c r="CO35" s="39">
        <v>1344</v>
      </c>
      <c r="CP35" s="65">
        <v>40734</v>
      </c>
      <c r="CQ35" s="3"/>
      <c r="CR35" s="3">
        <f t="shared" si="22"/>
        <v>29.761904761904763</v>
      </c>
      <c r="CS35" s="3">
        <f t="shared" si="23"/>
        <v>0</v>
      </c>
      <c r="CT35" s="3">
        <f t="shared" si="24"/>
        <v>0</v>
      </c>
      <c r="CU35" s="3">
        <f t="shared" si="25"/>
        <v>29.761904761904763</v>
      </c>
      <c r="CW35" s="36">
        <f t="shared" si="51"/>
        <v>28</v>
      </c>
      <c r="CX35" s="37">
        <f t="shared" si="52"/>
        <v>41098</v>
      </c>
      <c r="CY35" s="40">
        <v>42739</v>
      </c>
      <c r="CZ35" s="70">
        <v>0</v>
      </c>
      <c r="DA35" s="70">
        <v>0</v>
      </c>
      <c r="DB35" s="70"/>
      <c r="DC35" s="71">
        <v>1398</v>
      </c>
      <c r="DD35" s="71">
        <f t="shared" si="36"/>
        <v>41098</v>
      </c>
      <c r="DE35" s="72"/>
      <c r="DF35" s="3">
        <f t="shared" si="26"/>
        <v>30.571530758226036</v>
      </c>
      <c r="DG35" s="3">
        <f t="shared" si="27"/>
        <v>0</v>
      </c>
      <c r="DH35" s="3">
        <f t="shared" si="28"/>
        <v>0</v>
      </c>
      <c r="DI35" s="3">
        <f t="shared" si="29"/>
        <v>30.571530758226036</v>
      </c>
      <c r="DK35" s="36">
        <f t="shared" si="53"/>
        <v>28</v>
      </c>
      <c r="DL35" s="37">
        <f t="shared" si="54"/>
        <v>41469</v>
      </c>
      <c r="DM35" s="70">
        <v>72000</v>
      </c>
      <c r="DN35" s="70">
        <v>0</v>
      </c>
      <c r="DO35" s="70">
        <v>0</v>
      </c>
      <c r="DP35" s="70"/>
      <c r="DQ35" s="71">
        <v>1372</v>
      </c>
      <c r="DR35" s="71">
        <f t="shared" si="37"/>
        <v>41469</v>
      </c>
      <c r="DS35" s="72"/>
      <c r="DT35" s="3">
        <f t="shared" si="30"/>
        <v>52.478134110787174</v>
      </c>
      <c r="DU35" s="3">
        <f t="shared" si="31"/>
        <v>0</v>
      </c>
      <c r="DV35" s="3">
        <f t="shared" si="32"/>
        <v>0</v>
      </c>
      <c r="DW35" s="3">
        <f t="shared" si="33"/>
        <v>52.478134110787174</v>
      </c>
    </row>
    <row r="36" spans="3:127">
      <c r="C36" s="36">
        <v>29</v>
      </c>
      <c r="D36" s="37">
        <f t="shared" si="38"/>
        <v>38550</v>
      </c>
      <c r="E36" s="38">
        <v>13000</v>
      </c>
      <c r="F36" s="38">
        <v>4000</v>
      </c>
      <c r="G36" s="58"/>
      <c r="H36" s="39"/>
      <c r="I36" s="58">
        <v>1688</v>
      </c>
      <c r="J36" s="59" t="s">
        <v>38</v>
      </c>
      <c r="K36" s="3"/>
      <c r="L36" s="3">
        <f t="shared" si="0"/>
        <v>7.701421800947867</v>
      </c>
      <c r="M36" s="3">
        <f t="shared" si="34"/>
        <v>2.3696682464454977</v>
      </c>
      <c r="N36" s="3">
        <f t="shared" si="1"/>
        <v>0</v>
      </c>
      <c r="O36" s="3">
        <f t="shared" si="35"/>
        <v>10.071090047393366</v>
      </c>
      <c r="Q36" s="36">
        <f t="shared" si="39"/>
        <v>29</v>
      </c>
      <c r="R36" s="37">
        <f t="shared" si="40"/>
        <v>38914</v>
      </c>
      <c r="S36" s="38">
        <f>(9704.35+5132.77-200)+(9704.35+5132.77-200)</f>
        <v>29274.240000000002</v>
      </c>
      <c r="T36" s="38">
        <v>2000</v>
      </c>
      <c r="U36" s="58"/>
      <c r="V36" s="39"/>
      <c r="W36" s="63">
        <v>1768</v>
      </c>
      <c r="X36" s="59" t="s">
        <v>90</v>
      </c>
      <c r="Y36" s="3"/>
      <c r="Z36" s="3">
        <f t="shared" si="2"/>
        <v>16.557828054298643</v>
      </c>
      <c r="AA36" s="3">
        <f t="shared" si="3"/>
        <v>1.1312217194570136</v>
      </c>
      <c r="AB36" s="3">
        <f t="shared" si="4"/>
        <v>0</v>
      </c>
      <c r="AC36" s="3">
        <f t="shared" si="5"/>
        <v>17.689049773755656</v>
      </c>
      <c r="AD36" s="3"/>
      <c r="AE36" s="36">
        <f t="shared" si="41"/>
        <v>29</v>
      </c>
      <c r="AF36" s="37">
        <f t="shared" si="42"/>
        <v>39285</v>
      </c>
      <c r="AG36" s="38">
        <v>30000</v>
      </c>
      <c r="AH36" s="38">
        <v>25000</v>
      </c>
      <c r="AI36" s="58"/>
      <c r="AJ36" s="39"/>
      <c r="AK36" s="60">
        <v>936</v>
      </c>
      <c r="AL36" s="59" t="s">
        <v>142</v>
      </c>
      <c r="AM36" s="3"/>
      <c r="AN36" s="3">
        <f t="shared" si="6"/>
        <v>32.051282051282051</v>
      </c>
      <c r="AO36" s="3">
        <f t="shared" si="7"/>
        <v>26.70940170940171</v>
      </c>
      <c r="AP36" s="3">
        <f t="shared" si="8"/>
        <v>0</v>
      </c>
      <c r="AQ36" s="3">
        <f t="shared" si="9"/>
        <v>58.760683760683762</v>
      </c>
      <c r="AR36" s="3"/>
      <c r="AS36" s="36">
        <f t="shared" si="43"/>
        <v>29</v>
      </c>
      <c r="AT36" s="37">
        <f t="shared" si="44"/>
        <v>39649</v>
      </c>
      <c r="AU36" s="38">
        <f>(9972.32-25+8328-210-100)+(9972.32-25+8328-210-100)</f>
        <v>35930.639999999999</v>
      </c>
      <c r="AV36" s="38">
        <v>5000</v>
      </c>
      <c r="AW36" s="39"/>
      <c r="AX36" s="39"/>
      <c r="AY36" s="60">
        <v>1396</v>
      </c>
      <c r="AZ36" s="59" t="s">
        <v>194</v>
      </c>
      <c r="BA36" s="3"/>
      <c r="BB36" s="3">
        <f t="shared" si="10"/>
        <v>21.285924170616113</v>
      </c>
      <c r="BC36" s="3">
        <f t="shared" si="11"/>
        <v>2.9620853080568721</v>
      </c>
      <c r="BD36" s="3">
        <f t="shared" si="12"/>
        <v>0</v>
      </c>
      <c r="BE36" s="3">
        <f t="shared" si="13"/>
        <v>24.248009478672984</v>
      </c>
      <c r="BG36" s="36">
        <f t="shared" si="45"/>
        <v>29</v>
      </c>
      <c r="BH36" s="37">
        <f t="shared" si="46"/>
        <v>40013</v>
      </c>
      <c r="BI36" s="38">
        <f>21000+(9972.32-25+8328-210-100)</f>
        <v>38965.32</v>
      </c>
      <c r="BJ36" s="38">
        <v>5000</v>
      </c>
      <c r="BK36" s="38">
        <v>1000</v>
      </c>
      <c r="BL36" s="38"/>
      <c r="BM36" s="60">
        <v>1116</v>
      </c>
      <c r="BN36" s="59" t="s">
        <v>246</v>
      </c>
      <c r="BO36" s="3"/>
      <c r="BP36" s="3">
        <f t="shared" si="14"/>
        <v>34.91516129032258</v>
      </c>
      <c r="BQ36" s="3">
        <f t="shared" si="15"/>
        <v>4.4802867383512543</v>
      </c>
      <c r="BR36" s="3">
        <f t="shared" si="16"/>
        <v>0.89605734767025091</v>
      </c>
      <c r="BS36" s="3">
        <f t="shared" si="17"/>
        <v>40.291505376344084</v>
      </c>
      <c r="BU36" s="36">
        <f t="shared" si="47"/>
        <v>29</v>
      </c>
      <c r="BV36" s="37">
        <f t="shared" si="48"/>
        <v>40377</v>
      </c>
      <c r="BW36" s="38">
        <v>50000</v>
      </c>
      <c r="BX36" s="40">
        <v>2000</v>
      </c>
      <c r="BY36" s="40">
        <v>1000</v>
      </c>
      <c r="BZ36" s="38"/>
      <c r="CA36" s="39">
        <v>1941</v>
      </c>
      <c r="CB36" s="65">
        <v>40377</v>
      </c>
      <c r="CC36" s="3"/>
      <c r="CD36" s="3">
        <f t="shared" si="18"/>
        <v>25.759917568263781</v>
      </c>
      <c r="CE36" s="3">
        <f t="shared" si="19"/>
        <v>1.0303967027305512</v>
      </c>
      <c r="CF36" s="3">
        <f t="shared" si="20"/>
        <v>0.51519835136527559</v>
      </c>
      <c r="CG36" s="3">
        <f t="shared" si="21"/>
        <v>27.305512622359608</v>
      </c>
      <c r="CI36" s="36">
        <f t="shared" si="49"/>
        <v>29</v>
      </c>
      <c r="CJ36" s="37">
        <f t="shared" si="50"/>
        <v>40741</v>
      </c>
      <c r="CK36" s="40">
        <v>64000</v>
      </c>
      <c r="CL36" s="40">
        <v>2000</v>
      </c>
      <c r="CM36" s="40">
        <v>1000</v>
      </c>
      <c r="CN36" s="38"/>
      <c r="CO36" s="39">
        <v>1332</v>
      </c>
      <c r="CP36" s="65">
        <v>40741</v>
      </c>
      <c r="CQ36" s="3"/>
      <c r="CR36" s="3">
        <f t="shared" si="22"/>
        <v>48.048048048048045</v>
      </c>
      <c r="CS36" s="3">
        <f t="shared" si="23"/>
        <v>1.5015015015015014</v>
      </c>
      <c r="CT36" s="3">
        <f t="shared" si="24"/>
        <v>0.75075075075075071</v>
      </c>
      <c r="CU36" s="3">
        <f t="shared" si="25"/>
        <v>50.3003003003003</v>
      </c>
      <c r="CW36" s="36">
        <f t="shared" si="51"/>
        <v>29</v>
      </c>
      <c r="CX36" s="37">
        <f t="shared" si="52"/>
        <v>41105</v>
      </c>
      <c r="CY36" s="40">
        <v>63517</v>
      </c>
      <c r="CZ36" s="70">
        <v>1000</v>
      </c>
      <c r="DA36" s="70">
        <v>0</v>
      </c>
      <c r="DB36" s="70"/>
      <c r="DC36" s="71">
        <v>1340</v>
      </c>
      <c r="DD36" s="71">
        <f t="shared" si="36"/>
        <v>41105</v>
      </c>
      <c r="DE36" s="72"/>
      <c r="DF36" s="3">
        <f t="shared" si="26"/>
        <v>47.400746268656718</v>
      </c>
      <c r="DG36" s="3">
        <f t="shared" si="27"/>
        <v>0.74626865671641796</v>
      </c>
      <c r="DH36" s="3">
        <f t="shared" si="28"/>
        <v>0</v>
      </c>
      <c r="DI36" s="3">
        <f t="shared" si="29"/>
        <v>48.147014925373135</v>
      </c>
      <c r="DK36" s="36">
        <f t="shared" si="53"/>
        <v>29</v>
      </c>
      <c r="DL36" s="37">
        <f t="shared" si="54"/>
        <v>41476</v>
      </c>
      <c r="DM36" s="70">
        <v>60000</v>
      </c>
      <c r="DN36" s="70">
        <v>0</v>
      </c>
      <c r="DO36" s="70">
        <v>0</v>
      </c>
      <c r="DP36" s="70"/>
      <c r="DQ36" s="71">
        <v>1400</v>
      </c>
      <c r="DR36" s="71">
        <f t="shared" si="37"/>
        <v>41476</v>
      </c>
      <c r="DS36" s="72"/>
      <c r="DT36" s="3">
        <f t="shared" si="30"/>
        <v>42.857142857142854</v>
      </c>
      <c r="DU36" s="3">
        <f t="shared" si="31"/>
        <v>0</v>
      </c>
      <c r="DV36" s="3">
        <f t="shared" si="32"/>
        <v>0</v>
      </c>
      <c r="DW36" s="3">
        <f t="shared" si="33"/>
        <v>42.857142857142854</v>
      </c>
    </row>
    <row r="37" spans="3:127">
      <c r="C37" s="36">
        <v>30</v>
      </c>
      <c r="D37" s="37">
        <f t="shared" si="38"/>
        <v>38557</v>
      </c>
      <c r="E37" s="38">
        <v>22000</v>
      </c>
      <c r="F37" s="38">
        <v>3000</v>
      </c>
      <c r="G37" s="58"/>
      <c r="H37" s="39"/>
      <c r="I37" s="58">
        <v>1704</v>
      </c>
      <c r="J37" s="59" t="s">
        <v>39</v>
      </c>
      <c r="K37" s="3"/>
      <c r="L37" s="3">
        <f t="shared" si="0"/>
        <v>12.910798122065728</v>
      </c>
      <c r="M37" s="3">
        <f t="shared" si="34"/>
        <v>1.7605633802816902</v>
      </c>
      <c r="N37" s="3">
        <f t="shared" si="1"/>
        <v>0</v>
      </c>
      <c r="O37" s="3">
        <f t="shared" si="35"/>
        <v>14.671361502347418</v>
      </c>
      <c r="Q37" s="36">
        <f t="shared" si="39"/>
        <v>30</v>
      </c>
      <c r="R37" s="37">
        <f t="shared" si="40"/>
        <v>38921</v>
      </c>
      <c r="S37" s="38">
        <f>(6179.26-100+7823.25-100-275-600)+(6179.26-100+7823.25-100-275-600)</f>
        <v>25855.02</v>
      </c>
      <c r="T37" s="38">
        <v>2000</v>
      </c>
      <c r="U37" s="58"/>
      <c r="V37" s="39"/>
      <c r="W37" s="63">
        <v>1776</v>
      </c>
      <c r="X37" s="59" t="s">
        <v>91</v>
      </c>
      <c r="Y37" s="3"/>
      <c r="Z37" s="3">
        <f t="shared" si="2"/>
        <v>14.558006756756757</v>
      </c>
      <c r="AA37" s="3">
        <f t="shared" si="3"/>
        <v>1.1261261261261262</v>
      </c>
      <c r="AB37" s="3">
        <f t="shared" si="4"/>
        <v>0</v>
      </c>
      <c r="AC37" s="3">
        <f t="shared" si="5"/>
        <v>15.684132882882883</v>
      </c>
      <c r="AD37" s="3"/>
      <c r="AE37" s="36">
        <f t="shared" si="41"/>
        <v>30</v>
      </c>
      <c r="AF37" s="37">
        <f t="shared" si="42"/>
        <v>39292</v>
      </c>
      <c r="AG37" s="38">
        <v>24000</v>
      </c>
      <c r="AH37" s="38">
        <v>3000</v>
      </c>
      <c r="AI37" s="58"/>
      <c r="AJ37" s="39"/>
      <c r="AK37" s="60">
        <v>1000</v>
      </c>
      <c r="AL37" s="59" t="s">
        <v>143</v>
      </c>
      <c r="AM37" s="3"/>
      <c r="AN37" s="3">
        <f t="shared" si="6"/>
        <v>24</v>
      </c>
      <c r="AO37" s="3">
        <f t="shared" si="7"/>
        <v>3</v>
      </c>
      <c r="AP37" s="3">
        <f t="shared" si="8"/>
        <v>0</v>
      </c>
      <c r="AQ37" s="3">
        <f t="shared" si="9"/>
        <v>27</v>
      </c>
      <c r="AR37" s="3"/>
      <c r="AS37" s="36">
        <f t="shared" si="43"/>
        <v>30</v>
      </c>
      <c r="AT37" s="37">
        <f t="shared" si="44"/>
        <v>39656</v>
      </c>
      <c r="AU37" s="38">
        <f>(12040.03-256-25-125-200-250+8659.8)+(12040.03-256-25-125-200-250+8659.8)</f>
        <v>39687.660000000003</v>
      </c>
      <c r="AV37" s="38">
        <v>3000</v>
      </c>
      <c r="AW37" s="39"/>
      <c r="AX37" s="39"/>
      <c r="AY37" s="60">
        <v>1496</v>
      </c>
      <c r="AZ37" s="59" t="s">
        <v>195</v>
      </c>
      <c r="BA37" s="3"/>
      <c r="BB37" s="3">
        <f t="shared" si="10"/>
        <v>23.290880281690143</v>
      </c>
      <c r="BC37" s="3">
        <f t="shared" si="11"/>
        <v>1.7605633802816902</v>
      </c>
      <c r="BD37" s="3">
        <f t="shared" si="12"/>
        <v>0</v>
      </c>
      <c r="BE37" s="3">
        <f t="shared" si="13"/>
        <v>25.051443661971835</v>
      </c>
      <c r="BG37" s="36">
        <f t="shared" si="45"/>
        <v>30</v>
      </c>
      <c r="BH37" s="37">
        <f t="shared" si="46"/>
        <v>40020</v>
      </c>
      <c r="BI37" s="38">
        <f>17000+(12040.03-256-25-125-200-250+8659.8)</f>
        <v>36843.83</v>
      </c>
      <c r="BJ37" s="38">
        <v>3000</v>
      </c>
      <c r="BK37" s="38">
        <v>2000</v>
      </c>
      <c r="BL37" s="38"/>
      <c r="BM37" s="64">
        <v>1180</v>
      </c>
      <c r="BN37" s="59" t="s">
        <v>247</v>
      </c>
      <c r="BO37" s="3"/>
      <c r="BP37" s="3">
        <f t="shared" si="14"/>
        <v>31.223584745762714</v>
      </c>
      <c r="BQ37" s="3">
        <f t="shared" si="15"/>
        <v>2.5423728813559321</v>
      </c>
      <c r="BR37" s="3">
        <f t="shared" si="16"/>
        <v>1.6949152542372881</v>
      </c>
      <c r="BS37" s="3">
        <f t="shared" si="17"/>
        <v>35.460872881355932</v>
      </c>
      <c r="BU37" s="36">
        <f t="shared" si="47"/>
        <v>30</v>
      </c>
      <c r="BV37" s="37">
        <f t="shared" si="48"/>
        <v>40384</v>
      </c>
      <c r="BW37" s="38">
        <v>50000</v>
      </c>
      <c r="BX37" s="40">
        <v>2000</v>
      </c>
      <c r="BY37" s="40">
        <v>2000</v>
      </c>
      <c r="BZ37" s="38"/>
      <c r="CA37" s="39">
        <v>1933</v>
      </c>
      <c r="CB37" s="65">
        <v>40384</v>
      </c>
      <c r="CC37" s="3"/>
      <c r="CD37" s="3">
        <f t="shared" si="18"/>
        <v>25.866528711846872</v>
      </c>
      <c r="CE37" s="3">
        <f t="shared" si="19"/>
        <v>1.0346611484738748</v>
      </c>
      <c r="CF37" s="3">
        <f t="shared" si="20"/>
        <v>1.0346611484738748</v>
      </c>
      <c r="CG37" s="3">
        <f t="shared" si="21"/>
        <v>27.935851008794621</v>
      </c>
      <c r="CI37" s="36">
        <f t="shared" si="49"/>
        <v>30</v>
      </c>
      <c r="CJ37" s="37">
        <f t="shared" si="50"/>
        <v>40748</v>
      </c>
      <c r="CK37" s="40">
        <v>46000</v>
      </c>
      <c r="CL37" s="40">
        <v>0</v>
      </c>
      <c r="CM37" s="40">
        <v>0</v>
      </c>
      <c r="CN37" s="38"/>
      <c r="CO37" s="39">
        <v>1384</v>
      </c>
      <c r="CP37" s="65">
        <v>40748</v>
      </c>
      <c r="CQ37" s="3"/>
      <c r="CR37" s="3">
        <f t="shared" si="22"/>
        <v>33.236994219653177</v>
      </c>
      <c r="CS37" s="3">
        <f t="shared" si="23"/>
        <v>0</v>
      </c>
      <c r="CT37" s="3">
        <f t="shared" si="24"/>
        <v>0</v>
      </c>
      <c r="CU37" s="3">
        <f t="shared" si="25"/>
        <v>33.236994219653177</v>
      </c>
      <c r="CW37" s="36">
        <f t="shared" si="51"/>
        <v>30</v>
      </c>
      <c r="CX37" s="37">
        <f t="shared" si="52"/>
        <v>41112</v>
      </c>
      <c r="CY37" s="40">
        <v>55726</v>
      </c>
      <c r="CZ37" s="70">
        <v>1000</v>
      </c>
      <c r="DA37" s="70">
        <v>0</v>
      </c>
      <c r="DB37" s="70"/>
      <c r="DC37" s="71">
        <v>1342</v>
      </c>
      <c r="DD37" s="71">
        <f t="shared" si="36"/>
        <v>41112</v>
      </c>
      <c r="DE37" s="72"/>
      <c r="DF37" s="3">
        <f t="shared" si="26"/>
        <v>41.524590163934427</v>
      </c>
      <c r="DG37" s="3">
        <f t="shared" si="27"/>
        <v>0.7451564828614009</v>
      </c>
      <c r="DH37" s="3">
        <f t="shared" si="28"/>
        <v>0</v>
      </c>
      <c r="DI37" s="3">
        <f t="shared" si="29"/>
        <v>42.269746646795831</v>
      </c>
      <c r="DK37" s="36">
        <f t="shared" si="53"/>
        <v>30</v>
      </c>
      <c r="DL37" s="37">
        <f t="shared" si="54"/>
        <v>41483</v>
      </c>
      <c r="DM37" s="70">
        <v>60000</v>
      </c>
      <c r="DN37" s="70">
        <v>0</v>
      </c>
      <c r="DO37" s="70">
        <v>0</v>
      </c>
      <c r="DP37" s="70"/>
      <c r="DQ37" s="71">
        <v>1286</v>
      </c>
      <c r="DR37" s="71">
        <f t="shared" si="37"/>
        <v>41483</v>
      </c>
      <c r="DS37" s="72"/>
      <c r="DT37" s="3">
        <f t="shared" si="30"/>
        <v>46.65629860031104</v>
      </c>
      <c r="DU37" s="3">
        <f t="shared" si="31"/>
        <v>0</v>
      </c>
      <c r="DV37" s="3">
        <f t="shared" si="32"/>
        <v>0</v>
      </c>
      <c r="DW37" s="3">
        <f t="shared" si="33"/>
        <v>46.65629860031104</v>
      </c>
    </row>
    <row r="38" spans="3:127">
      <c r="C38" s="36">
        <v>31</v>
      </c>
      <c r="D38" s="37">
        <f t="shared" si="38"/>
        <v>38564</v>
      </c>
      <c r="E38" s="38">
        <v>24000</v>
      </c>
      <c r="F38" s="38">
        <v>1000</v>
      </c>
      <c r="G38" s="58"/>
      <c r="H38" s="39"/>
      <c r="I38" s="58">
        <v>1936</v>
      </c>
      <c r="J38" s="59" t="s">
        <v>40</v>
      </c>
      <c r="K38" s="3"/>
      <c r="L38" s="3">
        <f t="shared" si="0"/>
        <v>12.396694214876034</v>
      </c>
      <c r="M38" s="3">
        <f t="shared" si="34"/>
        <v>0.51652892561983466</v>
      </c>
      <c r="N38" s="3">
        <f t="shared" si="1"/>
        <v>0</v>
      </c>
      <c r="O38" s="3">
        <f t="shared" si="35"/>
        <v>12.913223140495868</v>
      </c>
      <c r="Q38" s="36">
        <f t="shared" si="39"/>
        <v>31</v>
      </c>
      <c r="R38" s="37">
        <f t="shared" si="40"/>
        <v>38928</v>
      </c>
      <c r="S38" s="38">
        <f>(24765+5080.84-183-200)+(24765+5080.84-183-200)</f>
        <v>58925.68</v>
      </c>
      <c r="T38" s="38">
        <v>0</v>
      </c>
      <c r="U38" s="58"/>
      <c r="V38" s="39"/>
      <c r="W38" s="63">
        <v>2008</v>
      </c>
      <c r="X38" s="59" t="s">
        <v>92</v>
      </c>
      <c r="Y38" s="3"/>
      <c r="Z38" s="3">
        <f t="shared" si="2"/>
        <v>29.345458167330676</v>
      </c>
      <c r="AA38" s="3">
        <f t="shared" si="3"/>
        <v>0</v>
      </c>
      <c r="AB38" s="3">
        <f t="shared" si="4"/>
        <v>0</v>
      </c>
      <c r="AC38" s="3">
        <f t="shared" si="5"/>
        <v>29.345458167330676</v>
      </c>
      <c r="AD38" s="3"/>
      <c r="AE38" s="36">
        <f t="shared" si="41"/>
        <v>31</v>
      </c>
      <c r="AF38" s="37">
        <f t="shared" si="42"/>
        <v>39299</v>
      </c>
      <c r="AG38" s="38">
        <v>42000</v>
      </c>
      <c r="AH38" s="38">
        <v>5000</v>
      </c>
      <c r="AI38" s="58"/>
      <c r="AJ38" s="39"/>
      <c r="AK38" s="60">
        <v>868</v>
      </c>
      <c r="AL38" s="59" t="s">
        <v>144</v>
      </c>
      <c r="AM38" s="3"/>
      <c r="AN38" s="3">
        <f t="shared" si="6"/>
        <v>48.387096774193552</v>
      </c>
      <c r="AO38" s="3">
        <f t="shared" si="7"/>
        <v>5.7603686635944698</v>
      </c>
      <c r="AP38" s="3">
        <f t="shared" si="8"/>
        <v>0</v>
      </c>
      <c r="AQ38" s="3">
        <f t="shared" si="9"/>
        <v>54.147465437788021</v>
      </c>
      <c r="AR38" s="3"/>
      <c r="AS38" s="36">
        <f t="shared" si="43"/>
        <v>31</v>
      </c>
      <c r="AT38" s="37">
        <f t="shared" si="44"/>
        <v>39663</v>
      </c>
      <c r="AU38" s="38">
        <f>(10917.25-519+5316-490-200)+(10917.25-519+5316-490-200)</f>
        <v>30048.5</v>
      </c>
      <c r="AV38" s="38">
        <v>8000</v>
      </c>
      <c r="AW38" s="39"/>
      <c r="AX38" s="39"/>
      <c r="AY38" s="60">
        <v>1380</v>
      </c>
      <c r="AZ38" s="59" t="s">
        <v>196</v>
      </c>
      <c r="BA38" s="3"/>
      <c r="BB38" s="3">
        <f t="shared" si="10"/>
        <v>15.520919421487603</v>
      </c>
      <c r="BC38" s="3">
        <f t="shared" si="11"/>
        <v>4.1322314049586772</v>
      </c>
      <c r="BD38" s="3">
        <f t="shared" si="12"/>
        <v>0</v>
      </c>
      <c r="BE38" s="3">
        <f t="shared" si="13"/>
        <v>19.653150826446279</v>
      </c>
      <c r="BG38" s="36">
        <f t="shared" si="45"/>
        <v>31</v>
      </c>
      <c r="BH38" s="37">
        <f t="shared" si="46"/>
        <v>40027</v>
      </c>
      <c r="BI38" s="38">
        <f>21000+(10917.25-519+5316-490-200)</f>
        <v>36024.25</v>
      </c>
      <c r="BJ38" s="38">
        <v>4000</v>
      </c>
      <c r="BK38" s="38">
        <v>0</v>
      </c>
      <c r="BL38" s="38"/>
      <c r="BM38" s="60">
        <v>1222</v>
      </c>
      <c r="BN38" s="59" t="s">
        <v>248</v>
      </c>
      <c r="BO38" s="3"/>
      <c r="BP38" s="3">
        <f t="shared" si="14"/>
        <v>29.479746317512276</v>
      </c>
      <c r="BQ38" s="3">
        <f t="shared" si="15"/>
        <v>3.2733224222585924</v>
      </c>
      <c r="BR38" s="3">
        <f t="shared" si="16"/>
        <v>0</v>
      </c>
      <c r="BS38" s="3">
        <f t="shared" si="17"/>
        <v>32.753068739770868</v>
      </c>
      <c r="BU38" s="36">
        <f t="shared" si="47"/>
        <v>31</v>
      </c>
      <c r="BV38" s="37">
        <f t="shared" si="48"/>
        <v>40391</v>
      </c>
      <c r="BW38" s="38">
        <v>50000</v>
      </c>
      <c r="BX38" s="40">
        <v>0</v>
      </c>
      <c r="BY38" s="40">
        <v>2000</v>
      </c>
      <c r="BZ38" s="38"/>
      <c r="CA38" s="39">
        <v>1815</v>
      </c>
      <c r="CB38" s="65">
        <v>40391</v>
      </c>
      <c r="CC38" s="3"/>
      <c r="CD38" s="3">
        <f t="shared" si="18"/>
        <v>27.548209366391184</v>
      </c>
      <c r="CE38" s="3">
        <f t="shared" si="19"/>
        <v>0</v>
      </c>
      <c r="CF38" s="3">
        <f t="shared" si="20"/>
        <v>1.1019283746556474</v>
      </c>
      <c r="CG38" s="3">
        <f t="shared" si="21"/>
        <v>28.65013774104683</v>
      </c>
      <c r="CI38" s="36">
        <f t="shared" si="49"/>
        <v>31</v>
      </c>
      <c r="CJ38" s="37">
        <f t="shared" si="50"/>
        <v>40755</v>
      </c>
      <c r="CK38" s="40">
        <v>46000</v>
      </c>
      <c r="CL38" s="40">
        <v>1000</v>
      </c>
      <c r="CM38" s="40">
        <v>0</v>
      </c>
      <c r="CN38" s="38"/>
      <c r="CO38" s="39">
        <v>1224</v>
      </c>
      <c r="CP38" s="65">
        <v>40755</v>
      </c>
      <c r="CQ38" s="3"/>
      <c r="CR38" s="3">
        <f t="shared" si="22"/>
        <v>37.58169934640523</v>
      </c>
      <c r="CS38" s="3">
        <f t="shared" si="23"/>
        <v>0.81699346405228757</v>
      </c>
      <c r="CT38" s="3">
        <f t="shared" si="24"/>
        <v>0</v>
      </c>
      <c r="CU38" s="3">
        <f t="shared" si="25"/>
        <v>38.398692810457518</v>
      </c>
      <c r="CW38" s="36">
        <f t="shared" si="51"/>
        <v>31</v>
      </c>
      <c r="CX38" s="37">
        <f t="shared" si="52"/>
        <v>41119</v>
      </c>
      <c r="CY38" s="40">
        <v>33630</v>
      </c>
      <c r="CZ38" s="70">
        <v>1000</v>
      </c>
      <c r="DA38" s="70">
        <v>0</v>
      </c>
      <c r="DB38" s="70"/>
      <c r="DC38" s="71">
        <v>1150</v>
      </c>
      <c r="DD38" s="71">
        <f t="shared" si="36"/>
        <v>41119</v>
      </c>
      <c r="DE38" s="72"/>
      <c r="DF38" s="3">
        <f t="shared" si="26"/>
        <v>29.243478260869566</v>
      </c>
      <c r="DG38" s="3">
        <f t="shared" si="27"/>
        <v>0.86956521739130432</v>
      </c>
      <c r="DH38" s="3">
        <f t="shared" si="28"/>
        <v>0</v>
      </c>
      <c r="DI38" s="3">
        <f t="shared" si="29"/>
        <v>30.11304347826087</v>
      </c>
      <c r="DK38" s="36">
        <f t="shared" si="53"/>
        <v>31</v>
      </c>
      <c r="DL38" s="37">
        <f t="shared" si="54"/>
        <v>41490</v>
      </c>
      <c r="DM38" s="70">
        <v>0</v>
      </c>
      <c r="DN38" s="70">
        <v>0</v>
      </c>
      <c r="DO38" s="70">
        <v>0</v>
      </c>
      <c r="DP38" s="70"/>
      <c r="DQ38" s="71"/>
      <c r="DR38" s="71">
        <f t="shared" si="37"/>
        <v>41490</v>
      </c>
      <c r="DS38" s="72"/>
      <c r="DT38" s="3" t="e">
        <f>DM38/$DQ38</f>
        <v>#DIV/0!</v>
      </c>
      <c r="DU38" s="3" t="e">
        <f>DN38/$DQ38</f>
        <v>#DIV/0!</v>
      </c>
      <c r="DV38" s="3" t="e">
        <f>DO38/$DQ38</f>
        <v>#DIV/0!</v>
      </c>
      <c r="DW38" s="3" t="e">
        <f t="shared" ref="DW38" si="55">SUM(DT38:DV38)</f>
        <v>#DIV/0!</v>
      </c>
    </row>
    <row r="39" spans="3:127">
      <c r="C39" s="36">
        <v>32</v>
      </c>
      <c r="D39" s="37">
        <f t="shared" si="38"/>
        <v>38571</v>
      </c>
      <c r="E39" s="38">
        <v>14000</v>
      </c>
      <c r="F39" s="38">
        <v>2000</v>
      </c>
      <c r="G39" s="58"/>
      <c r="H39" s="39"/>
      <c r="I39" s="58">
        <v>1560</v>
      </c>
      <c r="J39" s="59" t="s">
        <v>41</v>
      </c>
      <c r="K39" s="3"/>
      <c r="L39" s="3">
        <f t="shared" si="0"/>
        <v>8.9743589743589745</v>
      </c>
      <c r="M39" s="3">
        <f t="shared" si="34"/>
        <v>1.2820512820512822</v>
      </c>
      <c r="N39" s="3">
        <f t="shared" si="1"/>
        <v>0</v>
      </c>
      <c r="O39" s="3">
        <f t="shared" si="35"/>
        <v>10.256410256410257</v>
      </c>
      <c r="Q39" s="36">
        <f t="shared" si="39"/>
        <v>32</v>
      </c>
      <c r="R39" s="37">
        <f t="shared" si="40"/>
        <v>38935</v>
      </c>
      <c r="S39" s="38">
        <f>(9087.89-221.26-45+5818)+(9087.89-221.26-45+5818)</f>
        <v>29279.26</v>
      </c>
      <c r="T39" s="38">
        <v>4000</v>
      </c>
      <c r="U39" s="58"/>
      <c r="V39" s="39"/>
      <c r="W39" s="63">
        <v>1560</v>
      </c>
      <c r="X39" s="59" t="s">
        <v>93</v>
      </c>
      <c r="Y39" s="3"/>
      <c r="Z39" s="3">
        <f t="shared" si="2"/>
        <v>18.768756410256408</v>
      </c>
      <c r="AA39" s="3">
        <f t="shared" si="3"/>
        <v>2.5641025641025643</v>
      </c>
      <c r="AB39" s="3">
        <f t="shared" si="4"/>
        <v>0</v>
      </c>
      <c r="AC39" s="3">
        <f t="shared" si="5"/>
        <v>21.332858974358974</v>
      </c>
      <c r="AD39" s="3"/>
      <c r="AE39" s="36">
        <f t="shared" si="41"/>
        <v>32</v>
      </c>
      <c r="AF39" s="37">
        <f t="shared" si="42"/>
        <v>39306</v>
      </c>
      <c r="AG39" s="38">
        <v>32000</v>
      </c>
      <c r="AH39" s="38">
        <v>3000</v>
      </c>
      <c r="AI39" s="58"/>
      <c r="AJ39" s="39"/>
      <c r="AK39" s="60">
        <v>1048</v>
      </c>
      <c r="AL39" s="59" t="s">
        <v>145</v>
      </c>
      <c r="AM39" s="3"/>
      <c r="AN39" s="3">
        <f t="shared" si="6"/>
        <v>30.534351145038169</v>
      </c>
      <c r="AO39" s="3">
        <f t="shared" si="7"/>
        <v>2.8625954198473282</v>
      </c>
      <c r="AP39" s="3">
        <f t="shared" si="8"/>
        <v>0</v>
      </c>
      <c r="AQ39" s="3">
        <f t="shared" si="9"/>
        <v>33.396946564885496</v>
      </c>
      <c r="AR39" s="3"/>
      <c r="AS39" s="36">
        <f t="shared" si="43"/>
        <v>32</v>
      </c>
      <c r="AT39" s="37">
        <f t="shared" si="44"/>
        <v>39670</v>
      </c>
      <c r="AU39" s="38">
        <f>(8017.95-102+10786.74-25-5)+(8017.95-102+10786.74-25-5)</f>
        <v>37345.379999999997</v>
      </c>
      <c r="AV39" s="38">
        <v>11000</v>
      </c>
      <c r="AW39" s="39"/>
      <c r="AX39" s="39"/>
      <c r="AY39" s="60">
        <v>1490</v>
      </c>
      <c r="AZ39" s="59" t="s">
        <v>197</v>
      </c>
      <c r="BA39" s="3"/>
      <c r="BB39" s="3">
        <f t="shared" si="10"/>
        <v>23.939346153846152</v>
      </c>
      <c r="BC39" s="3">
        <f t="shared" si="11"/>
        <v>7.0512820512820511</v>
      </c>
      <c r="BD39" s="3">
        <f t="shared" si="12"/>
        <v>0</v>
      </c>
      <c r="BE39" s="3">
        <f t="shared" si="13"/>
        <v>30.990628205128203</v>
      </c>
      <c r="BG39" s="36">
        <f t="shared" si="45"/>
        <v>32</v>
      </c>
      <c r="BH39" s="37">
        <f t="shared" si="46"/>
        <v>40034</v>
      </c>
      <c r="BI39" s="38">
        <f>21000+(7103-146-100+7184.7+5993.14-200-250)</f>
        <v>40584.839999999997</v>
      </c>
      <c r="BJ39" s="38">
        <v>2000</v>
      </c>
      <c r="BK39" s="38">
        <v>1000</v>
      </c>
      <c r="BL39" s="38"/>
      <c r="BM39" s="60">
        <v>1196</v>
      </c>
      <c r="BN39" s="59" t="s">
        <v>249</v>
      </c>
      <c r="BO39" s="3"/>
      <c r="BP39" s="3">
        <f t="shared" si="14"/>
        <v>33.9338127090301</v>
      </c>
      <c r="BQ39" s="3">
        <f t="shared" si="15"/>
        <v>1.6722408026755853</v>
      </c>
      <c r="BR39" s="3">
        <f t="shared" si="16"/>
        <v>0.83612040133779264</v>
      </c>
      <c r="BS39" s="3">
        <f t="shared" si="17"/>
        <v>36.442173913043483</v>
      </c>
      <c r="BU39" s="36">
        <f t="shared" si="47"/>
        <v>32</v>
      </c>
      <c r="BV39" s="37">
        <f t="shared" si="48"/>
        <v>40398</v>
      </c>
      <c r="BW39" s="38">
        <f>16000+((8017.95-102+10786.74-25-5)+(8017.95-102+10786.74-25-5))</f>
        <v>53345.38</v>
      </c>
      <c r="BX39" s="40">
        <v>1000</v>
      </c>
      <c r="BY39" s="40">
        <v>1000</v>
      </c>
      <c r="BZ39" s="38"/>
      <c r="CA39" s="39">
        <v>1768</v>
      </c>
      <c r="CB39" s="65">
        <v>40398</v>
      </c>
      <c r="CC39" s="3"/>
      <c r="CD39" s="3">
        <f t="shared" si="18"/>
        <v>30.172726244343888</v>
      </c>
      <c r="CE39" s="3">
        <f t="shared" si="19"/>
        <v>0.56561085972850678</v>
      </c>
      <c r="CF39" s="3">
        <f t="shared" si="20"/>
        <v>0.56561085972850678</v>
      </c>
      <c r="CG39" s="3">
        <f t="shared" si="21"/>
        <v>31.303947963800905</v>
      </c>
      <c r="CI39" s="36">
        <f t="shared" si="49"/>
        <v>32</v>
      </c>
      <c r="CJ39" s="37">
        <f t="shared" si="50"/>
        <v>40762</v>
      </c>
      <c r="CK39" s="40">
        <v>50000</v>
      </c>
      <c r="CL39" s="40">
        <v>0</v>
      </c>
      <c r="CM39" s="40">
        <v>0</v>
      </c>
      <c r="CN39" s="38"/>
      <c r="CO39" s="39">
        <v>1170</v>
      </c>
      <c r="CP39" s="65">
        <v>40762</v>
      </c>
      <c r="CQ39" s="3"/>
      <c r="CR39" s="3">
        <f t="shared" si="22"/>
        <v>42.735042735042732</v>
      </c>
      <c r="CS39" s="3">
        <f t="shared" si="23"/>
        <v>0</v>
      </c>
      <c r="CT39" s="3">
        <f t="shared" si="24"/>
        <v>0</v>
      </c>
      <c r="CU39" s="3">
        <f t="shared" si="25"/>
        <v>42.735042735042732</v>
      </c>
      <c r="CW39" s="36">
        <f t="shared" si="51"/>
        <v>32</v>
      </c>
      <c r="CX39" s="37">
        <f t="shared" si="52"/>
        <v>41126</v>
      </c>
      <c r="CY39" s="40">
        <v>54629</v>
      </c>
      <c r="CZ39" s="70">
        <v>1000</v>
      </c>
      <c r="DA39" s="70">
        <v>0</v>
      </c>
      <c r="DB39" s="70"/>
      <c r="DC39" s="71">
        <v>1276</v>
      </c>
      <c r="DD39" s="71">
        <f t="shared" si="36"/>
        <v>41126</v>
      </c>
      <c r="DE39" s="72"/>
      <c r="DF39" s="3">
        <f t="shared" si="26"/>
        <v>42.812695924764888</v>
      </c>
      <c r="DG39" s="3">
        <f t="shared" si="27"/>
        <v>0.78369905956112851</v>
      </c>
      <c r="DH39" s="3">
        <f t="shared" si="28"/>
        <v>0</v>
      </c>
      <c r="DI39" s="3">
        <f t="shared" si="29"/>
        <v>43.596394984326018</v>
      </c>
      <c r="DK39" s="36">
        <f t="shared" si="53"/>
        <v>32</v>
      </c>
      <c r="DL39" s="37">
        <f t="shared" si="54"/>
        <v>41497</v>
      </c>
      <c r="DM39" s="70">
        <v>0</v>
      </c>
      <c r="DN39" s="70">
        <v>0</v>
      </c>
      <c r="DO39" s="70">
        <v>0</v>
      </c>
      <c r="DP39" s="70"/>
      <c r="DQ39" s="71"/>
      <c r="DR39" s="71">
        <f t="shared" si="37"/>
        <v>41497</v>
      </c>
      <c r="DS39" s="72"/>
      <c r="DT39" s="3" t="e">
        <f t="shared" ref="DT39:DT61" si="56">DM39/$DQ39</f>
        <v>#DIV/0!</v>
      </c>
      <c r="DU39" s="3" t="e">
        <f t="shared" ref="DU39:DU61" si="57">DN39/$DQ39</f>
        <v>#DIV/0!</v>
      </c>
      <c r="DV39" s="3" t="e">
        <f t="shared" ref="DV39:DV61" si="58">DO39/$DQ39</f>
        <v>#DIV/0!</v>
      </c>
      <c r="DW39" s="3" t="e">
        <f t="shared" ref="DW39:DW61" si="59">SUM(DT39:DV39)</f>
        <v>#DIV/0!</v>
      </c>
    </row>
    <row r="40" spans="3:127">
      <c r="C40" s="36">
        <v>33</v>
      </c>
      <c r="D40" s="37">
        <f t="shared" si="38"/>
        <v>38578</v>
      </c>
      <c r="E40" s="38">
        <v>28000</v>
      </c>
      <c r="F40" s="38">
        <v>2000</v>
      </c>
      <c r="G40" s="58"/>
      <c r="H40" s="39"/>
      <c r="I40" s="58">
        <v>1424</v>
      </c>
      <c r="J40" s="59" t="s">
        <v>42</v>
      </c>
      <c r="K40" s="3"/>
      <c r="L40" s="3">
        <f t="shared" ref="L40:L59" si="60">E40/$I40</f>
        <v>19.662921348314608</v>
      </c>
      <c r="M40" s="3">
        <f t="shared" ref="M40:M59" si="61">F40/$I40</f>
        <v>1.404494382022472</v>
      </c>
      <c r="N40" s="3">
        <f t="shared" ref="N40:N59" si="62">G40/$I40</f>
        <v>0</v>
      </c>
      <c r="O40" s="3">
        <f t="shared" si="35"/>
        <v>21.067415730337082</v>
      </c>
      <c r="Q40" s="36">
        <f t="shared" si="39"/>
        <v>33</v>
      </c>
      <c r="R40" s="37">
        <f t="shared" si="40"/>
        <v>38942</v>
      </c>
      <c r="S40" s="38">
        <f>(6704.5-25+3977.24-500)+(6704.5-25+3977.24-500)</f>
        <v>20313.48</v>
      </c>
      <c r="T40" s="38">
        <v>2000</v>
      </c>
      <c r="U40" s="58"/>
      <c r="V40" s="39"/>
      <c r="W40" s="63">
        <v>1768</v>
      </c>
      <c r="X40" s="59" t="s">
        <v>94</v>
      </c>
      <c r="Y40" s="3"/>
      <c r="Z40" s="3">
        <f t="shared" ref="Z40:Z59" si="63">S40/$W40</f>
        <v>11.489524886877827</v>
      </c>
      <c r="AA40" s="3">
        <f t="shared" ref="AA40:AA59" si="64">T40/$W40</f>
        <v>1.1312217194570136</v>
      </c>
      <c r="AB40" s="3">
        <f t="shared" ref="AB40:AB59" si="65">U40/$W40</f>
        <v>0</v>
      </c>
      <c r="AC40" s="3">
        <f t="shared" si="5"/>
        <v>12.620746606334841</v>
      </c>
      <c r="AD40" s="3"/>
      <c r="AE40" s="36">
        <f t="shared" si="41"/>
        <v>33</v>
      </c>
      <c r="AF40" s="37">
        <f t="shared" si="42"/>
        <v>39313</v>
      </c>
      <c r="AG40" s="38">
        <v>40000</v>
      </c>
      <c r="AH40" s="38">
        <v>5000</v>
      </c>
      <c r="AI40" s="58"/>
      <c r="AJ40" s="39"/>
      <c r="AK40" s="60">
        <v>1102</v>
      </c>
      <c r="AL40" s="59" t="s">
        <v>146</v>
      </c>
      <c r="AM40" s="3"/>
      <c r="AN40" s="3">
        <f t="shared" ref="AN40:AN59" si="66">AG40/$AK40</f>
        <v>36.297640653357533</v>
      </c>
      <c r="AO40" s="3">
        <f t="shared" ref="AO40:AO59" si="67">AH40/$AK40</f>
        <v>4.5372050816696916</v>
      </c>
      <c r="AP40" s="3">
        <f t="shared" ref="AP40:AP59" si="68">AI40/$AK40</f>
        <v>0</v>
      </c>
      <c r="AQ40" s="3">
        <f t="shared" si="9"/>
        <v>40.834845735027223</v>
      </c>
      <c r="AR40" s="3"/>
      <c r="AS40" s="36">
        <f t="shared" si="43"/>
        <v>33</v>
      </c>
      <c r="AT40" s="37">
        <f t="shared" si="44"/>
        <v>39677</v>
      </c>
      <c r="AU40" s="38">
        <f>(9358.74-367-25+7069.9-100)+(9358.74-367-25+7069.9-100)</f>
        <v>31873.279999999999</v>
      </c>
      <c r="AV40" s="38">
        <v>6000</v>
      </c>
      <c r="AW40" s="39"/>
      <c r="AX40" s="39"/>
      <c r="AY40" s="60">
        <v>1531</v>
      </c>
      <c r="AZ40" s="59" t="s">
        <v>198</v>
      </c>
      <c r="BA40" s="3"/>
      <c r="BB40" s="3">
        <f t="shared" ref="BB40:BB59" si="69">AU40/$I40</f>
        <v>22.382921348314607</v>
      </c>
      <c r="BC40" s="3">
        <f t="shared" ref="BC40:BC59" si="70">AV40/$I40</f>
        <v>4.213483146067416</v>
      </c>
      <c r="BD40" s="3">
        <f t="shared" ref="BD40:BD59" si="71">AW40/$I40</f>
        <v>0</v>
      </c>
      <c r="BE40" s="3">
        <f t="shared" si="13"/>
        <v>26.596404494382021</v>
      </c>
      <c r="BG40" s="36">
        <f t="shared" si="45"/>
        <v>33</v>
      </c>
      <c r="BH40" s="37">
        <f t="shared" si="46"/>
        <v>40041</v>
      </c>
      <c r="BI40" s="38">
        <f>17000+(9358.74-367-25+7069.9-100)</f>
        <v>32936.639999999999</v>
      </c>
      <c r="BJ40" s="38">
        <v>4000</v>
      </c>
      <c r="BK40" s="38">
        <v>1000</v>
      </c>
      <c r="BL40" s="38"/>
      <c r="BM40" s="60">
        <v>1392</v>
      </c>
      <c r="BN40" s="59" t="s">
        <v>250</v>
      </c>
      <c r="BO40" s="3"/>
      <c r="BP40" s="3">
        <f t="shared" ref="BP40:BP59" si="72">BI40/$BM40</f>
        <v>23.661379310344827</v>
      </c>
      <c r="BQ40" s="3">
        <f t="shared" ref="BQ40:BQ59" si="73">BJ40/$BM40</f>
        <v>2.8735632183908044</v>
      </c>
      <c r="BR40" s="3">
        <f t="shared" ref="BR40:BR59" si="74">BK40/$BM40</f>
        <v>0.7183908045977011</v>
      </c>
      <c r="BS40" s="3">
        <f t="shared" si="17"/>
        <v>27.25333333333333</v>
      </c>
      <c r="BU40" s="36">
        <f t="shared" si="47"/>
        <v>33</v>
      </c>
      <c r="BV40" s="37">
        <f t="shared" si="48"/>
        <v>40405</v>
      </c>
      <c r="BW40" s="38">
        <v>30000</v>
      </c>
      <c r="BX40" s="40">
        <v>4000</v>
      </c>
      <c r="BY40" s="40">
        <v>1000</v>
      </c>
      <c r="BZ40" s="38"/>
      <c r="CA40" s="39">
        <v>2035</v>
      </c>
      <c r="CB40" s="65">
        <v>40405</v>
      </c>
      <c r="CC40" s="3"/>
      <c r="CD40" s="3">
        <f t="shared" ref="CD40:CD59" si="75">BW40/$CA40</f>
        <v>14.742014742014742</v>
      </c>
      <c r="CE40" s="3">
        <f t="shared" ref="CE40:CE59" si="76">BX40/$CA40</f>
        <v>1.9656019656019657</v>
      </c>
      <c r="CF40" s="3">
        <f t="shared" ref="CF40:CF59" si="77">BY40/$CA40</f>
        <v>0.49140049140049141</v>
      </c>
      <c r="CG40" s="3">
        <f t="shared" si="21"/>
        <v>17.199017199017199</v>
      </c>
      <c r="CI40" s="36">
        <f t="shared" si="49"/>
        <v>33</v>
      </c>
      <c r="CJ40" s="37">
        <f t="shared" si="50"/>
        <v>40769</v>
      </c>
      <c r="CK40" s="40">
        <v>48000</v>
      </c>
      <c r="CL40" s="40">
        <v>1000</v>
      </c>
      <c r="CM40" s="40">
        <v>1000</v>
      </c>
      <c r="CN40" s="38"/>
      <c r="CO40" s="39">
        <v>1314</v>
      </c>
      <c r="CP40" s="65">
        <v>40769</v>
      </c>
      <c r="CQ40" s="3"/>
      <c r="CR40" s="3">
        <f t="shared" ref="CR40:CR59" si="78">CK40/$CO40</f>
        <v>36.529680365296805</v>
      </c>
      <c r="CS40" s="3">
        <f t="shared" ref="CS40:CS59" si="79">CL40/$CO40</f>
        <v>0.76103500761035003</v>
      </c>
      <c r="CT40" s="3">
        <f t="shared" ref="CT40:CT59" si="80">CM40/$CO40</f>
        <v>0.76103500761035003</v>
      </c>
      <c r="CU40" s="3">
        <f t="shared" si="25"/>
        <v>38.051750380517511</v>
      </c>
      <c r="CW40" s="36">
        <f t="shared" si="51"/>
        <v>33</v>
      </c>
      <c r="CX40" s="37">
        <f t="shared" si="52"/>
        <v>41133</v>
      </c>
      <c r="CY40" s="40">
        <v>44601</v>
      </c>
      <c r="CZ40" s="70">
        <v>0</v>
      </c>
      <c r="DA40" s="70">
        <v>0</v>
      </c>
      <c r="DB40" s="70"/>
      <c r="DC40" s="71">
        <v>1252</v>
      </c>
      <c r="DD40" s="71">
        <f t="shared" si="36"/>
        <v>41133</v>
      </c>
      <c r="DE40" s="72"/>
      <c r="DF40" s="3">
        <f t="shared" ref="DF40:DF60" si="81">CY40/$DC40</f>
        <v>35.623801916932905</v>
      </c>
      <c r="DG40" s="3">
        <f t="shared" ref="DG40:DG60" si="82">CZ40/$DC40</f>
        <v>0</v>
      </c>
      <c r="DH40" s="3">
        <f t="shared" ref="DH40:DH60" si="83">DA40/$DC40</f>
        <v>0</v>
      </c>
      <c r="DI40" s="3">
        <f t="shared" si="29"/>
        <v>35.623801916932905</v>
      </c>
      <c r="DK40" s="36">
        <f t="shared" si="53"/>
        <v>33</v>
      </c>
      <c r="DL40" s="37">
        <f t="shared" si="54"/>
        <v>41504</v>
      </c>
      <c r="DM40" s="70">
        <v>0</v>
      </c>
      <c r="DN40" s="70">
        <v>0</v>
      </c>
      <c r="DO40" s="70">
        <v>0</v>
      </c>
      <c r="DP40" s="70"/>
      <c r="DQ40" s="71"/>
      <c r="DR40" s="71">
        <f t="shared" si="37"/>
        <v>41504</v>
      </c>
      <c r="DS40" s="72"/>
      <c r="DT40" s="3" t="e">
        <f t="shared" si="56"/>
        <v>#DIV/0!</v>
      </c>
      <c r="DU40" s="3" t="e">
        <f t="shared" si="57"/>
        <v>#DIV/0!</v>
      </c>
      <c r="DV40" s="3" t="e">
        <f t="shared" si="58"/>
        <v>#DIV/0!</v>
      </c>
      <c r="DW40" s="3" t="e">
        <f t="shared" si="59"/>
        <v>#DIV/0!</v>
      </c>
    </row>
    <row r="41" spans="3:127">
      <c r="C41" s="36">
        <v>34</v>
      </c>
      <c r="D41" s="37">
        <f t="shared" si="38"/>
        <v>38585</v>
      </c>
      <c r="E41" s="38">
        <v>24000</v>
      </c>
      <c r="F41" s="38">
        <v>1000</v>
      </c>
      <c r="G41" s="58"/>
      <c r="H41" s="39"/>
      <c r="I41" s="58">
        <v>2308</v>
      </c>
      <c r="J41" s="59" t="s">
        <v>43</v>
      </c>
      <c r="K41" s="3"/>
      <c r="L41" s="3">
        <f t="shared" si="60"/>
        <v>10.398613518197573</v>
      </c>
      <c r="M41" s="3">
        <f t="shared" si="61"/>
        <v>0.43327556325823224</v>
      </c>
      <c r="N41" s="3">
        <f t="shared" si="62"/>
        <v>0</v>
      </c>
      <c r="O41" s="3">
        <f t="shared" si="35"/>
        <v>10.831889081455806</v>
      </c>
      <c r="Q41" s="36">
        <f t="shared" si="39"/>
        <v>34</v>
      </c>
      <c r="R41" s="37">
        <f t="shared" si="40"/>
        <v>38949</v>
      </c>
      <c r="S41" s="38">
        <f>(5194.63+5464.28+5602.66)+(5194.63+5464.28+5602.66)</f>
        <v>32523.14</v>
      </c>
      <c r="T41" s="38">
        <v>1000</v>
      </c>
      <c r="U41" s="58"/>
      <c r="V41" s="39"/>
      <c r="W41" s="63">
        <v>2052</v>
      </c>
      <c r="X41" s="59" t="s">
        <v>95</v>
      </c>
      <c r="Y41" s="3"/>
      <c r="Z41" s="3">
        <f t="shared" si="63"/>
        <v>15.84948343079922</v>
      </c>
      <c r="AA41" s="3">
        <f t="shared" si="64"/>
        <v>0.48732943469785572</v>
      </c>
      <c r="AB41" s="3">
        <f t="shared" si="65"/>
        <v>0</v>
      </c>
      <c r="AC41" s="3">
        <f t="shared" si="5"/>
        <v>16.336812865497077</v>
      </c>
      <c r="AD41" s="3"/>
      <c r="AE41" s="36">
        <f t="shared" si="41"/>
        <v>34</v>
      </c>
      <c r="AF41" s="37">
        <f t="shared" si="42"/>
        <v>39320</v>
      </c>
      <c r="AG41" s="38">
        <v>32000</v>
      </c>
      <c r="AH41" s="38">
        <v>6000</v>
      </c>
      <c r="AI41" s="58"/>
      <c r="AJ41" s="39"/>
      <c r="AK41" s="60">
        <v>1504</v>
      </c>
      <c r="AL41" s="59" t="s">
        <v>147</v>
      </c>
      <c r="AM41" s="3"/>
      <c r="AN41" s="3">
        <f t="shared" si="66"/>
        <v>21.276595744680851</v>
      </c>
      <c r="AO41" s="3">
        <f t="shared" si="67"/>
        <v>3.9893617021276597</v>
      </c>
      <c r="AP41" s="3">
        <f t="shared" si="68"/>
        <v>0</v>
      </c>
      <c r="AQ41" s="3">
        <f t="shared" si="9"/>
        <v>25.26595744680851</v>
      </c>
      <c r="AR41" s="3"/>
      <c r="AS41" s="36">
        <f t="shared" si="43"/>
        <v>34</v>
      </c>
      <c r="AT41" s="37">
        <f t="shared" si="44"/>
        <v>39684</v>
      </c>
      <c r="AU41" s="38">
        <f>(7103-146-100+7184.7+5993.14-200-250)+(7103-146-100+7184.7+5993.14-200-250)</f>
        <v>39169.68</v>
      </c>
      <c r="AV41" s="38">
        <v>3000</v>
      </c>
      <c r="AW41" s="39"/>
      <c r="AX41" s="39"/>
      <c r="AY41" s="60">
        <v>2294</v>
      </c>
      <c r="AZ41" s="59" t="s">
        <v>199</v>
      </c>
      <c r="BA41" s="3"/>
      <c r="BB41" s="3">
        <f t="shared" si="69"/>
        <v>16.971265164644713</v>
      </c>
      <c r="BC41" s="3">
        <f t="shared" si="70"/>
        <v>1.2998266897746966</v>
      </c>
      <c r="BD41" s="3">
        <f t="shared" si="71"/>
        <v>0</v>
      </c>
      <c r="BE41" s="3">
        <f t="shared" si="13"/>
        <v>18.27109185441941</v>
      </c>
      <c r="BG41" s="36">
        <f t="shared" si="45"/>
        <v>34</v>
      </c>
      <c r="BH41" s="37">
        <f t="shared" si="46"/>
        <v>40048</v>
      </c>
      <c r="BI41" s="38">
        <f>21000+(7103-146-100+7184.7+5993.14-200-250)</f>
        <v>40584.839999999997</v>
      </c>
      <c r="BJ41" s="38">
        <v>7000</v>
      </c>
      <c r="BK41" s="38">
        <v>4000</v>
      </c>
      <c r="BL41" s="38"/>
      <c r="BM41" s="60">
        <v>1742</v>
      </c>
      <c r="BN41" s="59" t="s">
        <v>251</v>
      </c>
      <c r="BO41" s="3"/>
      <c r="BP41" s="3">
        <f t="shared" si="72"/>
        <v>23.297841561423649</v>
      </c>
      <c r="BQ41" s="3">
        <f t="shared" si="73"/>
        <v>4.0183696900114807</v>
      </c>
      <c r="BR41" s="3">
        <f t="shared" si="74"/>
        <v>2.2962112514351318</v>
      </c>
      <c r="BS41" s="3">
        <f t="shared" si="17"/>
        <v>29.61242250287026</v>
      </c>
      <c r="BU41" s="36">
        <f t="shared" si="47"/>
        <v>34</v>
      </c>
      <c r="BV41" s="37">
        <f t="shared" si="48"/>
        <v>40412</v>
      </c>
      <c r="BW41" s="38">
        <v>30000</v>
      </c>
      <c r="BX41" s="40">
        <v>2000</v>
      </c>
      <c r="BY41" s="40">
        <v>0</v>
      </c>
      <c r="BZ41" s="38"/>
      <c r="CA41" s="39">
        <v>2498</v>
      </c>
      <c r="CB41" s="65">
        <v>40412</v>
      </c>
      <c r="CC41" s="3"/>
      <c r="CD41" s="3">
        <f t="shared" si="75"/>
        <v>12.00960768614892</v>
      </c>
      <c r="CE41" s="3">
        <f t="shared" si="76"/>
        <v>0.80064051240992795</v>
      </c>
      <c r="CF41" s="3">
        <f t="shared" si="77"/>
        <v>0</v>
      </c>
      <c r="CG41" s="3">
        <f t="shared" si="21"/>
        <v>12.810248198558847</v>
      </c>
      <c r="CI41" s="36">
        <f t="shared" si="49"/>
        <v>34</v>
      </c>
      <c r="CJ41" s="37">
        <f t="shared" si="50"/>
        <v>40776</v>
      </c>
      <c r="CK41" s="40">
        <v>42000</v>
      </c>
      <c r="CL41" s="40">
        <v>0</v>
      </c>
      <c r="CM41" s="40">
        <v>0</v>
      </c>
      <c r="CN41" s="38"/>
      <c r="CO41" s="39">
        <v>1584</v>
      </c>
      <c r="CP41" s="65">
        <v>40776</v>
      </c>
      <c r="CQ41" s="3"/>
      <c r="CR41" s="3">
        <f t="shared" si="78"/>
        <v>26.515151515151516</v>
      </c>
      <c r="CS41" s="3">
        <f t="shared" si="79"/>
        <v>0</v>
      </c>
      <c r="CT41" s="3">
        <f t="shared" si="80"/>
        <v>0</v>
      </c>
      <c r="CU41" s="3">
        <f t="shared" si="25"/>
        <v>26.515151515151516</v>
      </c>
      <c r="CW41" s="36">
        <f t="shared" si="51"/>
        <v>34</v>
      </c>
      <c r="CX41" s="37">
        <f t="shared" si="52"/>
        <v>41140</v>
      </c>
      <c r="CY41" s="40">
        <v>44921</v>
      </c>
      <c r="CZ41" s="70">
        <v>0</v>
      </c>
      <c r="DA41" s="70">
        <v>0</v>
      </c>
      <c r="DB41" s="70"/>
      <c r="DC41" s="71">
        <v>1474</v>
      </c>
      <c r="DD41" s="71">
        <f t="shared" si="36"/>
        <v>41140</v>
      </c>
      <c r="DE41" s="72"/>
      <c r="DF41" s="3">
        <f t="shared" si="81"/>
        <v>30.475576662143826</v>
      </c>
      <c r="DG41" s="3">
        <f t="shared" si="82"/>
        <v>0</v>
      </c>
      <c r="DH41" s="3">
        <f t="shared" si="83"/>
        <v>0</v>
      </c>
      <c r="DI41" s="3">
        <f t="shared" si="29"/>
        <v>30.475576662143826</v>
      </c>
      <c r="DK41" s="36">
        <f t="shared" si="53"/>
        <v>34</v>
      </c>
      <c r="DL41" s="37">
        <f t="shared" si="54"/>
        <v>41511</v>
      </c>
      <c r="DM41" s="70">
        <v>0</v>
      </c>
      <c r="DN41" s="70">
        <v>0</v>
      </c>
      <c r="DO41" s="70">
        <v>0</v>
      </c>
      <c r="DP41" s="70"/>
      <c r="DQ41" s="71"/>
      <c r="DR41" s="71">
        <f t="shared" si="37"/>
        <v>41511</v>
      </c>
      <c r="DS41" s="72"/>
      <c r="DT41" s="3" t="e">
        <f t="shared" si="56"/>
        <v>#DIV/0!</v>
      </c>
      <c r="DU41" s="3" t="e">
        <f t="shared" si="57"/>
        <v>#DIV/0!</v>
      </c>
      <c r="DV41" s="3" t="e">
        <f t="shared" si="58"/>
        <v>#DIV/0!</v>
      </c>
      <c r="DW41" s="3" t="e">
        <f t="shared" si="59"/>
        <v>#DIV/0!</v>
      </c>
    </row>
    <row r="42" spans="3:127">
      <c r="C42" s="36">
        <v>35</v>
      </c>
      <c r="D42" s="37">
        <f t="shared" si="38"/>
        <v>38592</v>
      </c>
      <c r="E42" s="38">
        <v>25000</v>
      </c>
      <c r="F42" s="38">
        <v>15000</v>
      </c>
      <c r="G42" s="58"/>
      <c r="H42" s="39"/>
      <c r="I42" s="58">
        <v>2584</v>
      </c>
      <c r="J42" s="59" t="s">
        <v>44</v>
      </c>
      <c r="K42" s="3"/>
      <c r="L42" s="3">
        <f t="shared" si="60"/>
        <v>9.6749226006191957</v>
      </c>
      <c r="M42" s="3">
        <f t="shared" si="61"/>
        <v>5.8049535603715174</v>
      </c>
      <c r="N42" s="3">
        <f t="shared" si="62"/>
        <v>0</v>
      </c>
      <c r="O42" s="3">
        <f t="shared" si="35"/>
        <v>15.479876160990713</v>
      </c>
      <c r="Q42" s="36">
        <f t="shared" si="39"/>
        <v>35</v>
      </c>
      <c r="R42" s="37">
        <f t="shared" si="40"/>
        <v>38956</v>
      </c>
      <c r="S42" s="38">
        <f>(5106.23+6278.41+2318.33-600)+(5106.23+6278.41+2318.33-600)</f>
        <v>26205.94</v>
      </c>
      <c r="T42" s="38">
        <v>5000</v>
      </c>
      <c r="U42" s="58"/>
      <c r="V42" s="39"/>
      <c r="W42" s="63">
        <v>2592</v>
      </c>
      <c r="X42" s="59" t="s">
        <v>96</v>
      </c>
      <c r="Y42" s="3"/>
      <c r="Z42" s="3">
        <f t="shared" si="63"/>
        <v>10.11031635802469</v>
      </c>
      <c r="AA42" s="3">
        <f t="shared" si="64"/>
        <v>1.9290123456790123</v>
      </c>
      <c r="AB42" s="3">
        <f t="shared" si="65"/>
        <v>0</v>
      </c>
      <c r="AC42" s="3">
        <f t="shared" si="5"/>
        <v>12.039328703703703</v>
      </c>
      <c r="AD42" s="3"/>
      <c r="AE42" s="36">
        <f t="shared" si="41"/>
        <v>35</v>
      </c>
      <c r="AF42" s="37">
        <f t="shared" si="42"/>
        <v>39327</v>
      </c>
      <c r="AG42" s="38">
        <v>38000</v>
      </c>
      <c r="AH42" s="38">
        <v>5000</v>
      </c>
      <c r="AI42" s="58"/>
      <c r="AJ42" s="39"/>
      <c r="AK42" s="60">
        <v>1390</v>
      </c>
      <c r="AL42" s="59" t="s">
        <v>148</v>
      </c>
      <c r="AM42" s="3"/>
      <c r="AN42" s="3">
        <f t="shared" si="66"/>
        <v>27.338129496402878</v>
      </c>
      <c r="AO42" s="3">
        <f t="shared" si="67"/>
        <v>3.5971223021582732</v>
      </c>
      <c r="AP42" s="3">
        <f t="shared" si="68"/>
        <v>0</v>
      </c>
      <c r="AQ42" s="3">
        <f t="shared" si="9"/>
        <v>30.935251798561151</v>
      </c>
      <c r="AR42" s="3"/>
      <c r="AS42" s="36">
        <f t="shared" si="43"/>
        <v>35</v>
      </c>
      <c r="AT42" s="37">
        <f t="shared" si="44"/>
        <v>39691</v>
      </c>
      <c r="AU42" s="38">
        <f>(6084-262-50+6088.44+4028.14-172-115.8)+(6084-262-50+6088.44+4028.14-172-115.8)</f>
        <v>31201.559999999998</v>
      </c>
      <c r="AV42" s="38">
        <v>9000</v>
      </c>
      <c r="AW42" s="39"/>
      <c r="AX42" s="39"/>
      <c r="AY42" s="60">
        <v>2175</v>
      </c>
      <c r="AZ42" s="59" t="s">
        <v>200</v>
      </c>
      <c r="BA42" s="3"/>
      <c r="BB42" s="3">
        <f t="shared" si="69"/>
        <v>12.074907120743033</v>
      </c>
      <c r="BC42" s="3">
        <f t="shared" si="70"/>
        <v>3.48297213622291</v>
      </c>
      <c r="BD42" s="3">
        <f t="shared" si="71"/>
        <v>0</v>
      </c>
      <c r="BE42" s="3">
        <f t="shared" si="13"/>
        <v>15.557879256965943</v>
      </c>
      <c r="BG42" s="36">
        <f t="shared" si="45"/>
        <v>35</v>
      </c>
      <c r="BH42" s="37">
        <f t="shared" si="46"/>
        <v>40055</v>
      </c>
      <c r="BI42" s="38">
        <f>14000+(6084-262-50+6088.44+4028.14-172-115.8)</f>
        <v>29600.78</v>
      </c>
      <c r="BJ42" s="38">
        <v>2000</v>
      </c>
      <c r="BK42" s="38">
        <v>1000</v>
      </c>
      <c r="BL42" s="38"/>
      <c r="BM42" s="60">
        <v>1948</v>
      </c>
      <c r="BN42" s="59" t="s">
        <v>252</v>
      </c>
      <c r="BO42" s="3"/>
      <c r="BP42" s="3">
        <f t="shared" si="72"/>
        <v>15.19547227926078</v>
      </c>
      <c r="BQ42" s="3">
        <f t="shared" si="73"/>
        <v>1.0266940451745379</v>
      </c>
      <c r="BR42" s="3">
        <f t="shared" si="74"/>
        <v>0.51334702258726894</v>
      </c>
      <c r="BS42" s="3">
        <f t="shared" si="17"/>
        <v>16.735513347022586</v>
      </c>
      <c r="BU42" s="36">
        <f t="shared" si="47"/>
        <v>35</v>
      </c>
      <c r="BV42" s="37">
        <f t="shared" si="48"/>
        <v>40419</v>
      </c>
      <c r="BW42" s="38">
        <v>30000</v>
      </c>
      <c r="BX42" s="40">
        <v>0</v>
      </c>
      <c r="BY42" s="40">
        <v>1000</v>
      </c>
      <c r="BZ42" s="38"/>
      <c r="CA42" s="39">
        <v>2998</v>
      </c>
      <c r="CB42" s="65">
        <v>40419</v>
      </c>
      <c r="CC42" s="3"/>
      <c r="CD42" s="3">
        <f t="shared" si="75"/>
        <v>10.006671114076051</v>
      </c>
      <c r="CE42" s="3">
        <f t="shared" si="76"/>
        <v>0</v>
      </c>
      <c r="CF42" s="3">
        <f t="shared" si="77"/>
        <v>0.33355570380253502</v>
      </c>
      <c r="CG42" s="3">
        <f t="shared" si="21"/>
        <v>10.340226817878586</v>
      </c>
      <c r="CI42" s="36">
        <f t="shared" si="49"/>
        <v>35</v>
      </c>
      <c r="CJ42" s="37">
        <f t="shared" si="50"/>
        <v>40783</v>
      </c>
      <c r="CK42" s="40">
        <v>48000</v>
      </c>
      <c r="CL42" s="40">
        <v>0</v>
      </c>
      <c r="CM42" s="40">
        <v>1000</v>
      </c>
      <c r="CN42" s="38"/>
      <c r="CO42" s="39">
        <v>2028</v>
      </c>
      <c r="CP42" s="65">
        <v>40783</v>
      </c>
      <c r="CQ42" s="3"/>
      <c r="CR42" s="3">
        <f t="shared" si="78"/>
        <v>23.668639053254438</v>
      </c>
      <c r="CS42" s="3">
        <f t="shared" si="79"/>
        <v>0</v>
      </c>
      <c r="CT42" s="3">
        <f t="shared" si="80"/>
        <v>0.49309664694280081</v>
      </c>
      <c r="CU42" s="3">
        <f t="shared" si="25"/>
        <v>24.161735700197237</v>
      </c>
      <c r="CW42" s="36">
        <f t="shared" si="51"/>
        <v>35</v>
      </c>
      <c r="CX42" s="37">
        <f t="shared" si="52"/>
        <v>41147</v>
      </c>
      <c r="CY42" s="40">
        <v>41703</v>
      </c>
      <c r="CZ42" s="70">
        <v>1000</v>
      </c>
      <c r="DA42" s="70">
        <v>0</v>
      </c>
      <c r="DB42" s="70"/>
      <c r="DC42" s="71">
        <v>1900</v>
      </c>
      <c r="DD42" s="71">
        <f t="shared" si="36"/>
        <v>41147</v>
      </c>
      <c r="DE42" s="72"/>
      <c r="DF42" s="3">
        <f t="shared" si="81"/>
        <v>21.948947368421052</v>
      </c>
      <c r="DG42" s="3">
        <f t="shared" si="82"/>
        <v>0.52631578947368418</v>
      </c>
      <c r="DH42" s="3">
        <f t="shared" si="83"/>
        <v>0</v>
      </c>
      <c r="DI42" s="3">
        <f t="shared" si="29"/>
        <v>22.475263157894737</v>
      </c>
      <c r="DK42" s="36">
        <f t="shared" si="53"/>
        <v>35</v>
      </c>
      <c r="DL42" s="37">
        <f t="shared" si="54"/>
        <v>41518</v>
      </c>
      <c r="DM42" s="70">
        <v>0</v>
      </c>
      <c r="DN42" s="70">
        <v>0</v>
      </c>
      <c r="DO42" s="70">
        <v>0</v>
      </c>
      <c r="DP42" s="70"/>
      <c r="DQ42" s="71"/>
      <c r="DR42" s="71">
        <f t="shared" si="37"/>
        <v>41518</v>
      </c>
      <c r="DS42" s="72"/>
      <c r="DT42" s="3" t="e">
        <f t="shared" si="56"/>
        <v>#DIV/0!</v>
      </c>
      <c r="DU42" s="3" t="e">
        <f t="shared" si="57"/>
        <v>#DIV/0!</v>
      </c>
      <c r="DV42" s="3" t="e">
        <f t="shared" si="58"/>
        <v>#DIV/0!</v>
      </c>
      <c r="DW42" s="3" t="e">
        <f t="shared" si="59"/>
        <v>#DIV/0!</v>
      </c>
    </row>
    <row r="43" spans="3:127">
      <c r="C43" s="36">
        <v>36</v>
      </c>
      <c r="D43" s="37">
        <f t="shared" si="38"/>
        <v>38599</v>
      </c>
      <c r="E43" s="38">
        <v>29000</v>
      </c>
      <c r="F43" s="38">
        <v>5000</v>
      </c>
      <c r="G43" s="58"/>
      <c r="H43" s="39"/>
      <c r="I43" s="58">
        <v>2352</v>
      </c>
      <c r="J43" s="59" t="s">
        <v>45</v>
      </c>
      <c r="K43" s="3"/>
      <c r="L43" s="3">
        <f t="shared" si="60"/>
        <v>12.329931972789115</v>
      </c>
      <c r="M43" s="3">
        <f t="shared" si="61"/>
        <v>2.1258503401360542</v>
      </c>
      <c r="N43" s="3">
        <f t="shared" si="62"/>
        <v>0</v>
      </c>
      <c r="O43" s="3">
        <f t="shared" si="35"/>
        <v>14.455782312925169</v>
      </c>
      <c r="Q43" s="36">
        <f t="shared" si="39"/>
        <v>36</v>
      </c>
      <c r="R43" s="37">
        <f t="shared" si="40"/>
        <v>38963</v>
      </c>
      <c r="S43" s="38">
        <f>(3083.11+10748.64+3566.29)+(3083.11+10748.64+3566.29)</f>
        <v>34796.080000000002</v>
      </c>
      <c r="T43" s="38">
        <v>3000</v>
      </c>
      <c r="U43" s="58"/>
      <c r="V43" s="39"/>
      <c r="W43" s="63">
        <v>2452</v>
      </c>
      <c r="X43" s="59" t="s">
        <v>97</v>
      </c>
      <c r="Y43" s="3"/>
      <c r="Z43" s="3">
        <f t="shared" si="63"/>
        <v>14.190897226753671</v>
      </c>
      <c r="AA43" s="3">
        <f t="shared" si="64"/>
        <v>1.2234910277324633</v>
      </c>
      <c r="AB43" s="3">
        <f t="shared" si="65"/>
        <v>0</v>
      </c>
      <c r="AC43" s="3">
        <f t="shared" si="5"/>
        <v>15.414388254486134</v>
      </c>
      <c r="AD43" s="3"/>
      <c r="AE43" s="36">
        <f t="shared" si="41"/>
        <v>36</v>
      </c>
      <c r="AF43" s="37">
        <f t="shared" si="42"/>
        <v>39334</v>
      </c>
      <c r="AG43" s="38">
        <v>26000</v>
      </c>
      <c r="AH43" s="38">
        <v>4000</v>
      </c>
      <c r="AI43" s="58"/>
      <c r="AJ43" s="39"/>
      <c r="AK43" s="60">
        <v>1384</v>
      </c>
      <c r="AL43" s="59" t="s">
        <v>149</v>
      </c>
      <c r="AM43" s="3"/>
      <c r="AN43" s="3">
        <f t="shared" si="66"/>
        <v>18.786127167630056</v>
      </c>
      <c r="AO43" s="3">
        <f t="shared" si="67"/>
        <v>2.8901734104046244</v>
      </c>
      <c r="AP43" s="3">
        <f t="shared" si="68"/>
        <v>0</v>
      </c>
      <c r="AQ43" s="3">
        <f t="shared" si="9"/>
        <v>21.676300578034681</v>
      </c>
      <c r="AR43" s="3"/>
      <c r="AS43" s="36">
        <f t="shared" si="43"/>
        <v>36</v>
      </c>
      <c r="AT43" s="37">
        <f t="shared" si="44"/>
        <v>39698</v>
      </c>
      <c r="AU43" s="38">
        <f>(5106.57-350-500+7559.66-50-100+5299.15)+(5106.57-350-500+7559.66-50-100+5299.15)</f>
        <v>33930.759999999995</v>
      </c>
      <c r="AV43" s="38">
        <v>4000</v>
      </c>
      <c r="AW43" s="39"/>
      <c r="AX43" s="39"/>
      <c r="AY43" s="60">
        <v>2167</v>
      </c>
      <c r="AZ43" s="59" t="s">
        <v>201</v>
      </c>
      <c r="BA43" s="3"/>
      <c r="BB43" s="3">
        <f t="shared" si="69"/>
        <v>14.426343537414963</v>
      </c>
      <c r="BC43" s="3">
        <f t="shared" si="70"/>
        <v>1.7006802721088434</v>
      </c>
      <c r="BD43" s="3">
        <f t="shared" si="71"/>
        <v>0</v>
      </c>
      <c r="BE43" s="3">
        <f t="shared" si="13"/>
        <v>16.127023809523806</v>
      </c>
      <c r="BG43" s="36">
        <f t="shared" si="45"/>
        <v>36</v>
      </c>
      <c r="BH43" s="37">
        <f t="shared" si="46"/>
        <v>40062</v>
      </c>
      <c r="BI43" s="38">
        <f>16000+(5106.57-350-500+7559.66-50-100+5299.15)</f>
        <v>32965.379999999997</v>
      </c>
      <c r="BJ43" s="38">
        <v>4000</v>
      </c>
      <c r="BK43" s="38">
        <v>1000</v>
      </c>
      <c r="BL43" s="38"/>
      <c r="BM43" s="60">
        <v>1774</v>
      </c>
      <c r="BN43" s="59" t="s">
        <v>253</v>
      </c>
      <c r="BO43" s="3"/>
      <c r="BP43" s="3">
        <f t="shared" si="72"/>
        <v>18.582514092446448</v>
      </c>
      <c r="BQ43" s="3">
        <f t="shared" si="73"/>
        <v>2.254791431792559</v>
      </c>
      <c r="BR43" s="3">
        <f t="shared" si="74"/>
        <v>0.56369785794813976</v>
      </c>
      <c r="BS43" s="3">
        <f t="shared" si="17"/>
        <v>21.401003382187145</v>
      </c>
      <c r="BU43" s="36">
        <f t="shared" si="47"/>
        <v>36</v>
      </c>
      <c r="BV43" s="37">
        <f t="shared" si="48"/>
        <v>40426</v>
      </c>
      <c r="BW43" s="38">
        <f>22000+((5106.57-350-500+7559.66-50-100+5299.15)+(5106.57-350-500+7559.66-50-100+5299.15))</f>
        <v>55930.759999999995</v>
      </c>
      <c r="BX43" s="40">
        <v>2000</v>
      </c>
      <c r="BY43" s="40">
        <v>1000</v>
      </c>
      <c r="BZ43" s="38"/>
      <c r="CA43" s="39">
        <v>2847</v>
      </c>
      <c r="CB43" s="65">
        <v>40426</v>
      </c>
      <c r="CC43" s="3"/>
      <c r="CD43" s="3">
        <f t="shared" si="75"/>
        <v>19.645507551808919</v>
      </c>
      <c r="CE43" s="3">
        <f t="shared" si="76"/>
        <v>0.70249385317878466</v>
      </c>
      <c r="CF43" s="3">
        <f t="shared" si="77"/>
        <v>0.35124692658939233</v>
      </c>
      <c r="CG43" s="3">
        <f t="shared" si="21"/>
        <v>20.699248331577095</v>
      </c>
      <c r="CI43" s="36">
        <f t="shared" si="49"/>
        <v>36</v>
      </c>
      <c r="CJ43" s="37">
        <f t="shared" si="50"/>
        <v>40790</v>
      </c>
      <c r="CK43" s="40">
        <v>70000</v>
      </c>
      <c r="CL43" s="40">
        <v>0</v>
      </c>
      <c r="CM43" s="40">
        <v>0</v>
      </c>
      <c r="CN43" s="38"/>
      <c r="CO43" s="39">
        <v>1938</v>
      </c>
      <c r="CP43" s="65">
        <v>40790</v>
      </c>
      <c r="CQ43" s="3"/>
      <c r="CR43" s="3">
        <f t="shared" si="78"/>
        <v>36.119711042311664</v>
      </c>
      <c r="CS43" s="3">
        <f t="shared" si="79"/>
        <v>0</v>
      </c>
      <c r="CT43" s="3">
        <f t="shared" si="80"/>
        <v>0</v>
      </c>
      <c r="CU43" s="3">
        <f t="shared" si="25"/>
        <v>36.119711042311664</v>
      </c>
      <c r="CW43" s="36">
        <f t="shared" si="51"/>
        <v>36</v>
      </c>
      <c r="CX43" s="37">
        <f t="shared" si="52"/>
        <v>41154</v>
      </c>
      <c r="CY43" s="40">
        <v>73887</v>
      </c>
      <c r="CZ43" s="70">
        <v>0</v>
      </c>
      <c r="DA43" s="70">
        <v>0</v>
      </c>
      <c r="DB43" s="70"/>
      <c r="DC43" s="71">
        <v>2184</v>
      </c>
      <c r="DD43" s="71">
        <f t="shared" si="36"/>
        <v>41154</v>
      </c>
      <c r="DE43" s="72"/>
      <c r="DF43" s="3">
        <f t="shared" si="81"/>
        <v>33.831043956043956</v>
      </c>
      <c r="DG43" s="3">
        <f t="shared" si="82"/>
        <v>0</v>
      </c>
      <c r="DH43" s="3">
        <f t="shared" si="83"/>
        <v>0</v>
      </c>
      <c r="DI43" s="3">
        <f t="shared" si="29"/>
        <v>33.831043956043956</v>
      </c>
      <c r="DK43" s="36">
        <f t="shared" si="53"/>
        <v>36</v>
      </c>
      <c r="DL43" s="37">
        <f t="shared" si="54"/>
        <v>41525</v>
      </c>
      <c r="DM43" s="70">
        <v>0</v>
      </c>
      <c r="DN43" s="70">
        <v>0</v>
      </c>
      <c r="DO43" s="70">
        <v>0</v>
      </c>
      <c r="DP43" s="70"/>
      <c r="DQ43" s="71"/>
      <c r="DR43" s="71">
        <f t="shared" si="37"/>
        <v>41525</v>
      </c>
      <c r="DS43" s="72"/>
      <c r="DT43" s="3" t="e">
        <f t="shared" si="56"/>
        <v>#DIV/0!</v>
      </c>
      <c r="DU43" s="3" t="e">
        <f t="shared" si="57"/>
        <v>#DIV/0!</v>
      </c>
      <c r="DV43" s="3" t="e">
        <f t="shared" si="58"/>
        <v>#DIV/0!</v>
      </c>
      <c r="DW43" s="3" t="e">
        <f t="shared" si="59"/>
        <v>#DIV/0!</v>
      </c>
    </row>
    <row r="44" spans="3:127">
      <c r="C44" s="36">
        <v>37</v>
      </c>
      <c r="D44" s="37">
        <f t="shared" si="38"/>
        <v>38606</v>
      </c>
      <c r="E44" s="38">
        <v>23000</v>
      </c>
      <c r="F44" s="38">
        <v>2000</v>
      </c>
      <c r="G44" s="58"/>
      <c r="H44" s="39"/>
      <c r="I44" s="58">
        <v>2508</v>
      </c>
      <c r="J44" s="59" t="s">
        <v>46</v>
      </c>
      <c r="K44" s="3"/>
      <c r="L44" s="3">
        <f t="shared" si="60"/>
        <v>9.1706539074960123</v>
      </c>
      <c r="M44" s="3">
        <f t="shared" si="61"/>
        <v>0.79744816586921852</v>
      </c>
      <c r="N44" s="3">
        <f t="shared" si="62"/>
        <v>0</v>
      </c>
      <c r="O44" s="3">
        <f t="shared" si="35"/>
        <v>9.9681020733652304</v>
      </c>
      <c r="Q44" s="36">
        <f t="shared" si="39"/>
        <v>37</v>
      </c>
      <c r="R44" s="37">
        <f t="shared" si="40"/>
        <v>38970</v>
      </c>
      <c r="S44" s="38">
        <f>(2497.5+40+15830-50+3494.33-100)+(2497.5+40+15830-50+3494.33-100)</f>
        <v>43423.66</v>
      </c>
      <c r="T44" s="38">
        <v>1000</v>
      </c>
      <c r="U44" s="58"/>
      <c r="V44" s="39"/>
      <c r="W44" s="63">
        <v>2520</v>
      </c>
      <c r="X44" s="59" t="s">
        <v>98</v>
      </c>
      <c r="Y44" s="3"/>
      <c r="Z44" s="3">
        <f t="shared" si="63"/>
        <v>17.231611111111114</v>
      </c>
      <c r="AA44" s="3">
        <f t="shared" si="64"/>
        <v>0.3968253968253968</v>
      </c>
      <c r="AB44" s="3">
        <f t="shared" si="65"/>
        <v>0</v>
      </c>
      <c r="AC44" s="3">
        <f t="shared" si="5"/>
        <v>17.62843650793651</v>
      </c>
      <c r="AD44" s="3"/>
      <c r="AE44" s="36">
        <f t="shared" si="41"/>
        <v>37</v>
      </c>
      <c r="AF44" s="37">
        <f t="shared" si="42"/>
        <v>39341</v>
      </c>
      <c r="AG44" s="38">
        <v>34000</v>
      </c>
      <c r="AH44" s="38">
        <v>3000</v>
      </c>
      <c r="AI44" s="58"/>
      <c r="AJ44" s="39"/>
      <c r="AK44" s="60">
        <v>1494</v>
      </c>
      <c r="AL44" s="59" t="s">
        <v>150</v>
      </c>
      <c r="AM44" s="3"/>
      <c r="AN44" s="3">
        <f t="shared" si="66"/>
        <v>22.757697456492636</v>
      </c>
      <c r="AO44" s="3">
        <f t="shared" si="67"/>
        <v>2.0080321285140563</v>
      </c>
      <c r="AP44" s="3">
        <f t="shared" si="68"/>
        <v>0</v>
      </c>
      <c r="AQ44" s="3">
        <f t="shared" si="9"/>
        <v>24.765729585006692</v>
      </c>
      <c r="AR44" s="3"/>
      <c r="AS44" s="36">
        <f t="shared" si="43"/>
        <v>37</v>
      </c>
      <c r="AT44" s="37">
        <f t="shared" si="44"/>
        <v>39705</v>
      </c>
      <c r="AU44" s="38">
        <f>(6019.5-50+4501-150-248+4262-100)+(6019.5-50+4501-150-248+4262-100)</f>
        <v>28469</v>
      </c>
      <c r="AV44" s="38">
        <v>5000</v>
      </c>
      <c r="AW44" s="39"/>
      <c r="AX44" s="39"/>
      <c r="AY44" s="60">
        <v>2257</v>
      </c>
      <c r="AZ44" s="59" t="s">
        <v>202</v>
      </c>
      <c r="BA44" s="3"/>
      <c r="BB44" s="3">
        <f t="shared" si="69"/>
        <v>11.35127591706539</v>
      </c>
      <c r="BC44" s="3">
        <f t="shared" si="70"/>
        <v>1.9936204146730463</v>
      </c>
      <c r="BD44" s="3">
        <f t="shared" si="71"/>
        <v>0</v>
      </c>
      <c r="BE44" s="3">
        <f t="shared" si="13"/>
        <v>13.344896331738436</v>
      </c>
      <c r="BG44" s="36">
        <f t="shared" si="45"/>
        <v>37</v>
      </c>
      <c r="BH44" s="37">
        <f t="shared" si="46"/>
        <v>40069</v>
      </c>
      <c r="BI44" s="38">
        <f>16000+(6019.5-50+4501-150-248+4262-100)</f>
        <v>30234.5</v>
      </c>
      <c r="BJ44" s="38">
        <v>12000</v>
      </c>
      <c r="BK44" s="38">
        <v>1000</v>
      </c>
      <c r="BL44" s="38"/>
      <c r="BM44" s="60">
        <v>1952</v>
      </c>
      <c r="BN44" s="59" t="s">
        <v>254</v>
      </c>
      <c r="BO44" s="3"/>
      <c r="BP44" s="3">
        <f t="shared" si="72"/>
        <v>15.488985655737705</v>
      </c>
      <c r="BQ44" s="3">
        <f t="shared" si="73"/>
        <v>6.1475409836065573</v>
      </c>
      <c r="BR44" s="3">
        <f t="shared" si="74"/>
        <v>0.51229508196721307</v>
      </c>
      <c r="BS44" s="3">
        <f t="shared" si="17"/>
        <v>22.148821721311474</v>
      </c>
      <c r="BU44" s="36">
        <f t="shared" si="47"/>
        <v>37</v>
      </c>
      <c r="BV44" s="37">
        <f t="shared" si="48"/>
        <v>40433</v>
      </c>
      <c r="BW44" s="38">
        <f>24000+((6019.5-50+4501-150-248+4262-100)+(6019.5-50+4501-150-248+4262-100))</f>
        <v>52469</v>
      </c>
      <c r="BX44" s="40">
        <v>2000</v>
      </c>
      <c r="BY44" s="40">
        <v>1000</v>
      </c>
      <c r="BZ44" s="38"/>
      <c r="CA44" s="39">
        <v>3006</v>
      </c>
      <c r="CB44" s="65">
        <v>40433</v>
      </c>
      <c r="CC44" s="3"/>
      <c r="CD44" s="3">
        <f t="shared" si="75"/>
        <v>17.454757152361942</v>
      </c>
      <c r="CE44" s="3">
        <f t="shared" si="76"/>
        <v>0.66533599467731208</v>
      </c>
      <c r="CF44" s="3">
        <f t="shared" si="77"/>
        <v>0.33266799733865604</v>
      </c>
      <c r="CG44" s="3">
        <f t="shared" si="21"/>
        <v>18.452761144377913</v>
      </c>
      <c r="CI44" s="36">
        <f t="shared" si="49"/>
        <v>37</v>
      </c>
      <c r="CJ44" s="37">
        <f t="shared" si="50"/>
        <v>40797</v>
      </c>
      <c r="CK44" s="40">
        <v>48000</v>
      </c>
      <c r="CL44" s="40">
        <v>0</v>
      </c>
      <c r="CM44" s="40">
        <v>0</v>
      </c>
      <c r="CN44" s="38"/>
      <c r="CO44" s="39">
        <v>2028</v>
      </c>
      <c r="CP44" s="65">
        <v>40797</v>
      </c>
      <c r="CQ44" s="3"/>
      <c r="CR44" s="3">
        <f t="shared" si="78"/>
        <v>23.668639053254438</v>
      </c>
      <c r="CS44" s="3">
        <f t="shared" si="79"/>
        <v>0</v>
      </c>
      <c r="CT44" s="3">
        <f t="shared" si="80"/>
        <v>0</v>
      </c>
      <c r="CU44" s="3">
        <f t="shared" si="25"/>
        <v>23.668639053254438</v>
      </c>
      <c r="CW44" s="36">
        <f t="shared" si="51"/>
        <v>37</v>
      </c>
      <c r="CX44" s="37">
        <f t="shared" si="52"/>
        <v>41161</v>
      </c>
      <c r="CY44" s="40">
        <v>52017</v>
      </c>
      <c r="CZ44" s="70">
        <v>3000</v>
      </c>
      <c r="DA44" s="70">
        <v>0</v>
      </c>
      <c r="DB44" s="70"/>
      <c r="DC44" s="71">
        <v>2306</v>
      </c>
      <c r="DD44" s="71">
        <f t="shared" si="36"/>
        <v>41161</v>
      </c>
      <c r="DE44" s="72"/>
      <c r="DF44" s="3">
        <f t="shared" si="81"/>
        <v>22.557241977450129</v>
      </c>
      <c r="DG44" s="3">
        <f t="shared" si="82"/>
        <v>1.3009540329575022</v>
      </c>
      <c r="DH44" s="3">
        <f t="shared" si="83"/>
        <v>0</v>
      </c>
      <c r="DI44" s="3">
        <f t="shared" si="29"/>
        <v>23.858196010407632</v>
      </c>
      <c r="DK44" s="36">
        <f t="shared" si="53"/>
        <v>37</v>
      </c>
      <c r="DL44" s="37">
        <f t="shared" si="54"/>
        <v>41532</v>
      </c>
      <c r="DM44" s="70">
        <v>0</v>
      </c>
      <c r="DN44" s="70">
        <v>0</v>
      </c>
      <c r="DO44" s="70">
        <v>0</v>
      </c>
      <c r="DP44" s="70"/>
      <c r="DQ44" s="71"/>
      <c r="DR44" s="71">
        <f t="shared" si="37"/>
        <v>41532</v>
      </c>
      <c r="DS44" s="72"/>
      <c r="DT44" s="3" t="e">
        <f t="shared" si="56"/>
        <v>#DIV/0!</v>
      </c>
      <c r="DU44" s="3" t="e">
        <f t="shared" si="57"/>
        <v>#DIV/0!</v>
      </c>
      <c r="DV44" s="3" t="e">
        <f t="shared" si="58"/>
        <v>#DIV/0!</v>
      </c>
      <c r="DW44" s="3" t="e">
        <f t="shared" si="59"/>
        <v>#DIV/0!</v>
      </c>
    </row>
    <row r="45" spans="3:127">
      <c r="C45" s="36">
        <v>38</v>
      </c>
      <c r="D45" s="37">
        <f t="shared" si="38"/>
        <v>38613</v>
      </c>
      <c r="E45" s="38">
        <v>24000</v>
      </c>
      <c r="F45" s="38">
        <v>4000</v>
      </c>
      <c r="G45" s="58"/>
      <c r="H45" s="39"/>
      <c r="I45" s="58">
        <v>2544</v>
      </c>
      <c r="J45" s="59" t="s">
        <v>47</v>
      </c>
      <c r="K45" s="3"/>
      <c r="L45" s="3">
        <f t="shared" si="60"/>
        <v>9.433962264150944</v>
      </c>
      <c r="M45" s="3">
        <f t="shared" si="61"/>
        <v>1.5723270440251573</v>
      </c>
      <c r="N45" s="3">
        <f t="shared" si="62"/>
        <v>0</v>
      </c>
      <c r="O45" s="3">
        <f t="shared" si="35"/>
        <v>11.0062893081761</v>
      </c>
      <c r="Q45" s="36">
        <f t="shared" si="39"/>
        <v>38</v>
      </c>
      <c r="R45" s="37">
        <f t="shared" si="40"/>
        <v>38977</v>
      </c>
      <c r="S45" s="38">
        <f>(3854.46-150+6399.3+4734.94-35-330)+(3854.46-150+6399.3+4734.94-35-330)</f>
        <v>28947.4</v>
      </c>
      <c r="T45" s="38">
        <v>2000</v>
      </c>
      <c r="U45" s="58"/>
      <c r="V45" s="39"/>
      <c r="W45" s="63">
        <v>2596</v>
      </c>
      <c r="X45" s="59" t="s">
        <v>99</v>
      </c>
      <c r="Y45" s="3"/>
      <c r="Z45" s="3">
        <f t="shared" si="63"/>
        <v>11.150770416024654</v>
      </c>
      <c r="AA45" s="3">
        <f t="shared" si="64"/>
        <v>0.77041602465331283</v>
      </c>
      <c r="AB45" s="3">
        <f t="shared" si="65"/>
        <v>0</v>
      </c>
      <c r="AC45" s="3">
        <f t="shared" si="5"/>
        <v>11.921186440677968</v>
      </c>
      <c r="AD45" s="3"/>
      <c r="AE45" s="36">
        <f t="shared" si="41"/>
        <v>38</v>
      </c>
      <c r="AF45" s="37">
        <f t="shared" si="42"/>
        <v>39348</v>
      </c>
      <c r="AG45" s="38">
        <v>34000</v>
      </c>
      <c r="AH45" s="38">
        <v>5000</v>
      </c>
      <c r="AI45" s="58"/>
      <c r="AJ45" s="39"/>
      <c r="AK45" s="60">
        <v>1302</v>
      </c>
      <c r="AL45" s="59" t="s">
        <v>151</v>
      </c>
      <c r="AM45" s="3"/>
      <c r="AN45" s="3">
        <f t="shared" si="66"/>
        <v>26.113671274961597</v>
      </c>
      <c r="AO45" s="3">
        <f t="shared" si="67"/>
        <v>3.8402457757296466</v>
      </c>
      <c r="AP45" s="3">
        <f t="shared" si="68"/>
        <v>0</v>
      </c>
      <c r="AQ45" s="3">
        <f t="shared" si="9"/>
        <v>29.953917050691242</v>
      </c>
      <c r="AR45" s="3"/>
      <c r="AS45" s="36">
        <f t="shared" si="43"/>
        <v>38</v>
      </c>
      <c r="AT45" s="37">
        <f t="shared" si="44"/>
        <v>39712</v>
      </c>
      <c r="AU45" s="38">
        <f>(7062-235-25-50-70+8068-200-100+4523.54)+(7062-235-25-50-70+8068-200-100+4523.54)</f>
        <v>37947.08</v>
      </c>
      <c r="AV45" s="38">
        <v>2000</v>
      </c>
      <c r="AW45" s="39"/>
      <c r="AX45" s="39"/>
      <c r="AY45" s="60">
        <v>2011</v>
      </c>
      <c r="AZ45" s="59" t="s">
        <v>203</v>
      </c>
      <c r="BA45" s="3"/>
      <c r="BB45" s="3">
        <f t="shared" si="69"/>
        <v>14.916305031446541</v>
      </c>
      <c r="BC45" s="3">
        <f t="shared" si="70"/>
        <v>0.78616352201257866</v>
      </c>
      <c r="BD45" s="3">
        <f t="shared" si="71"/>
        <v>0</v>
      </c>
      <c r="BE45" s="3">
        <f t="shared" si="13"/>
        <v>15.70246855345912</v>
      </c>
      <c r="BG45" s="36">
        <f t="shared" si="45"/>
        <v>38</v>
      </c>
      <c r="BH45" s="37">
        <f t="shared" si="46"/>
        <v>40076</v>
      </c>
      <c r="BI45" s="38">
        <f>18000+(7062-235-25-50-70+8068-200-100+4523.54)</f>
        <v>36973.54</v>
      </c>
      <c r="BJ45" s="38">
        <v>3000</v>
      </c>
      <c r="BK45" s="38">
        <v>1000</v>
      </c>
      <c r="BL45" s="38"/>
      <c r="BM45" s="60">
        <v>1670</v>
      </c>
      <c r="BN45" s="59" t="s">
        <v>255</v>
      </c>
      <c r="BO45" s="3"/>
      <c r="BP45" s="3">
        <f t="shared" si="72"/>
        <v>22.139844311377246</v>
      </c>
      <c r="BQ45" s="3">
        <f t="shared" si="73"/>
        <v>1.7964071856287425</v>
      </c>
      <c r="BR45" s="3">
        <f t="shared" si="74"/>
        <v>0.59880239520958078</v>
      </c>
      <c r="BS45" s="3">
        <f t="shared" si="17"/>
        <v>24.535053892215569</v>
      </c>
      <c r="BU45" s="36">
        <f t="shared" si="47"/>
        <v>38</v>
      </c>
      <c r="BV45" s="37">
        <f t="shared" si="48"/>
        <v>40440</v>
      </c>
      <c r="BW45" s="38">
        <f>24000+((7062-235-25-50-70+8068-200-100+4523.54)+(7062-235-25-50-70+8068-200-100+4523.54))</f>
        <v>61947.08</v>
      </c>
      <c r="BX45" s="40">
        <v>2000</v>
      </c>
      <c r="BY45" s="40">
        <v>0</v>
      </c>
      <c r="BZ45" s="38"/>
      <c r="CA45" s="39">
        <v>2761</v>
      </c>
      <c r="CB45" s="65">
        <v>40440</v>
      </c>
      <c r="CC45" s="3"/>
      <c r="CD45" s="3">
        <f t="shared" si="75"/>
        <v>22.436465048895329</v>
      </c>
      <c r="CE45" s="3">
        <f t="shared" si="76"/>
        <v>0.72437522636725826</v>
      </c>
      <c r="CF45" s="3">
        <f t="shared" si="77"/>
        <v>0</v>
      </c>
      <c r="CG45" s="3">
        <f t="shared" si="21"/>
        <v>23.160840275262586</v>
      </c>
      <c r="CI45" s="36">
        <f t="shared" si="49"/>
        <v>38</v>
      </c>
      <c r="CJ45" s="37">
        <f t="shared" si="50"/>
        <v>40804</v>
      </c>
      <c r="CK45" s="40">
        <v>54000</v>
      </c>
      <c r="CL45" s="40">
        <v>1000</v>
      </c>
      <c r="CM45" s="40">
        <v>0</v>
      </c>
      <c r="CN45" s="38"/>
      <c r="CO45" s="39">
        <v>1880</v>
      </c>
      <c r="CP45" s="65">
        <v>40804</v>
      </c>
      <c r="CQ45" s="3"/>
      <c r="CR45" s="3">
        <f t="shared" si="78"/>
        <v>28.723404255319149</v>
      </c>
      <c r="CS45" s="3">
        <f t="shared" si="79"/>
        <v>0.53191489361702127</v>
      </c>
      <c r="CT45" s="3">
        <f t="shared" si="80"/>
        <v>0</v>
      </c>
      <c r="CU45" s="3">
        <f t="shared" si="25"/>
        <v>29.25531914893617</v>
      </c>
      <c r="CW45" s="36">
        <f t="shared" si="51"/>
        <v>38</v>
      </c>
      <c r="CX45" s="37">
        <f t="shared" si="52"/>
        <v>41168</v>
      </c>
      <c r="CY45" s="40">
        <v>70693</v>
      </c>
      <c r="CZ45" s="70">
        <v>0</v>
      </c>
      <c r="DA45" s="70">
        <v>0</v>
      </c>
      <c r="DB45" s="70"/>
      <c r="DC45" s="71">
        <v>2198</v>
      </c>
      <c r="DD45" s="71">
        <f t="shared" si="36"/>
        <v>41168</v>
      </c>
      <c r="DE45" s="72"/>
      <c r="DF45" s="3">
        <f t="shared" si="81"/>
        <v>32.162420382165607</v>
      </c>
      <c r="DG45" s="3">
        <f t="shared" si="82"/>
        <v>0</v>
      </c>
      <c r="DH45" s="3">
        <f t="shared" si="83"/>
        <v>0</v>
      </c>
      <c r="DI45" s="3">
        <f t="shared" si="29"/>
        <v>32.162420382165607</v>
      </c>
      <c r="DK45" s="36">
        <f t="shared" si="53"/>
        <v>38</v>
      </c>
      <c r="DL45" s="37">
        <f t="shared" si="54"/>
        <v>41539</v>
      </c>
      <c r="DM45" s="70">
        <v>0</v>
      </c>
      <c r="DN45" s="70">
        <v>0</v>
      </c>
      <c r="DO45" s="70">
        <v>0</v>
      </c>
      <c r="DP45" s="70"/>
      <c r="DQ45" s="71"/>
      <c r="DR45" s="71">
        <f t="shared" si="37"/>
        <v>41539</v>
      </c>
      <c r="DS45" s="72"/>
      <c r="DT45" s="3" t="e">
        <f t="shared" si="56"/>
        <v>#DIV/0!</v>
      </c>
      <c r="DU45" s="3" t="e">
        <f t="shared" si="57"/>
        <v>#DIV/0!</v>
      </c>
      <c r="DV45" s="3" t="e">
        <f t="shared" si="58"/>
        <v>#DIV/0!</v>
      </c>
      <c r="DW45" s="3" t="e">
        <f t="shared" si="59"/>
        <v>#DIV/0!</v>
      </c>
    </row>
    <row r="46" spans="3:127">
      <c r="C46" s="36">
        <v>39</v>
      </c>
      <c r="D46" s="37">
        <f t="shared" si="38"/>
        <v>38620</v>
      </c>
      <c r="E46" s="38">
        <v>22000</v>
      </c>
      <c r="F46" s="38">
        <v>1000</v>
      </c>
      <c r="G46" s="58"/>
      <c r="H46" s="39"/>
      <c r="I46" s="58">
        <v>2684</v>
      </c>
      <c r="J46" s="59" t="s">
        <v>48</v>
      </c>
      <c r="K46" s="3"/>
      <c r="L46" s="3">
        <f t="shared" si="60"/>
        <v>8.1967213114754092</v>
      </c>
      <c r="M46" s="3">
        <f t="shared" si="61"/>
        <v>0.37257824143070045</v>
      </c>
      <c r="N46" s="3">
        <f t="shared" si="62"/>
        <v>0</v>
      </c>
      <c r="O46" s="3">
        <f t="shared" si="35"/>
        <v>8.5692995529061093</v>
      </c>
      <c r="Q46" s="36">
        <f t="shared" si="39"/>
        <v>39</v>
      </c>
      <c r="R46" s="37">
        <f t="shared" si="40"/>
        <v>38984</v>
      </c>
      <c r="S46" s="38">
        <f>(4223+4998.27+3684.51-100-227.51)+(4223+4998.27+3684.51-100-227.51)</f>
        <v>25156.54</v>
      </c>
      <c r="T46" s="38">
        <v>1000</v>
      </c>
      <c r="U46" s="58"/>
      <c r="V46" s="39"/>
      <c r="W46" s="63">
        <v>2320</v>
      </c>
      <c r="X46" s="59" t="s">
        <v>100</v>
      </c>
      <c r="Y46" s="3"/>
      <c r="Z46" s="3">
        <f t="shared" si="63"/>
        <v>10.843336206896552</v>
      </c>
      <c r="AA46" s="3">
        <f t="shared" si="64"/>
        <v>0.43103448275862066</v>
      </c>
      <c r="AB46" s="3">
        <f t="shared" si="65"/>
        <v>0</v>
      </c>
      <c r="AC46" s="3">
        <f t="shared" si="5"/>
        <v>11.274370689655173</v>
      </c>
      <c r="AD46" s="3"/>
      <c r="AE46" s="36">
        <f t="shared" si="41"/>
        <v>39</v>
      </c>
      <c r="AF46" s="37">
        <f t="shared" si="42"/>
        <v>39355</v>
      </c>
      <c r="AG46" s="38">
        <v>36000</v>
      </c>
      <c r="AH46" s="38">
        <v>4000</v>
      </c>
      <c r="AI46" s="58"/>
      <c r="AJ46" s="39"/>
      <c r="AK46" s="60">
        <v>1340</v>
      </c>
      <c r="AL46" s="59" t="s">
        <v>152</v>
      </c>
      <c r="AM46" s="3"/>
      <c r="AN46" s="3">
        <f t="shared" si="66"/>
        <v>26.865671641791046</v>
      </c>
      <c r="AO46" s="3">
        <f t="shared" si="67"/>
        <v>2.9850746268656718</v>
      </c>
      <c r="AP46" s="3">
        <f t="shared" si="68"/>
        <v>0</v>
      </c>
      <c r="AQ46" s="3">
        <f t="shared" si="9"/>
        <v>29.850746268656717</v>
      </c>
      <c r="AR46" s="3"/>
      <c r="AS46" s="36">
        <f t="shared" si="43"/>
        <v>39</v>
      </c>
      <c r="AT46" s="37">
        <f t="shared" si="44"/>
        <v>39719</v>
      </c>
      <c r="AU46" s="38">
        <f>(5484-210-10-100-250-25+6401.32+3395-135-150-50)+(5484-210-10-100-250-25+6401.32+3395-135-150-50)</f>
        <v>28700.639999999999</v>
      </c>
      <c r="AV46" s="38">
        <v>4000</v>
      </c>
      <c r="AW46" s="39"/>
      <c r="AX46" s="39"/>
      <c r="AY46" s="60">
        <v>2002</v>
      </c>
      <c r="AZ46" s="59" t="s">
        <v>204</v>
      </c>
      <c r="BA46" s="3"/>
      <c r="BB46" s="3">
        <f t="shared" si="69"/>
        <v>10.693233979135618</v>
      </c>
      <c r="BC46" s="3">
        <f t="shared" si="70"/>
        <v>1.4903129657228018</v>
      </c>
      <c r="BD46" s="3">
        <f t="shared" si="71"/>
        <v>0</v>
      </c>
      <c r="BE46" s="3">
        <f t="shared" si="13"/>
        <v>12.183546944858421</v>
      </c>
      <c r="BG46" s="36">
        <f t="shared" si="45"/>
        <v>39</v>
      </c>
      <c r="BH46" s="37">
        <f t="shared" si="46"/>
        <v>40083</v>
      </c>
      <c r="BI46" s="38">
        <f>11000+(5484-210-10-100-250-25+6401.32+3395-135-150-50)</f>
        <v>25350.32</v>
      </c>
      <c r="BJ46" s="38">
        <v>7000</v>
      </c>
      <c r="BK46" s="38">
        <v>0</v>
      </c>
      <c r="BL46" s="38"/>
      <c r="BM46" s="60">
        <v>1742</v>
      </c>
      <c r="BN46" s="59" t="s">
        <v>256</v>
      </c>
      <c r="BO46" s="3"/>
      <c r="BP46" s="3">
        <f t="shared" si="72"/>
        <v>14.552422502870265</v>
      </c>
      <c r="BQ46" s="3">
        <f t="shared" si="73"/>
        <v>4.0183696900114807</v>
      </c>
      <c r="BR46" s="3">
        <f t="shared" si="74"/>
        <v>0</v>
      </c>
      <c r="BS46" s="3">
        <f t="shared" si="17"/>
        <v>18.570792192881747</v>
      </c>
      <c r="BU46" s="36">
        <f t="shared" si="47"/>
        <v>39</v>
      </c>
      <c r="BV46" s="37">
        <f t="shared" si="48"/>
        <v>40447</v>
      </c>
      <c r="BW46" s="38">
        <v>40000</v>
      </c>
      <c r="BX46" s="40">
        <v>1000</v>
      </c>
      <c r="BY46" s="40">
        <v>1000</v>
      </c>
      <c r="BZ46" s="38"/>
      <c r="CA46" s="39">
        <v>2580</v>
      </c>
      <c r="CB46" s="65">
        <v>40447</v>
      </c>
      <c r="CC46" s="3"/>
      <c r="CD46" s="3">
        <f t="shared" si="75"/>
        <v>15.503875968992247</v>
      </c>
      <c r="CE46" s="3">
        <f t="shared" si="76"/>
        <v>0.38759689922480622</v>
      </c>
      <c r="CF46" s="3">
        <f t="shared" si="77"/>
        <v>0.38759689922480622</v>
      </c>
      <c r="CG46" s="3">
        <f t="shared" si="21"/>
        <v>16.279069767441861</v>
      </c>
      <c r="CI46" s="36">
        <f t="shared" si="49"/>
        <v>39</v>
      </c>
      <c r="CJ46" s="37">
        <f t="shared" si="50"/>
        <v>40811</v>
      </c>
      <c r="CK46" s="40">
        <v>88000</v>
      </c>
      <c r="CL46" s="40">
        <v>1000</v>
      </c>
      <c r="CM46" s="40">
        <v>0</v>
      </c>
      <c r="CN46" s="38"/>
      <c r="CO46" s="39">
        <v>1734</v>
      </c>
      <c r="CP46" s="65">
        <v>40811</v>
      </c>
      <c r="CQ46" s="3"/>
      <c r="CR46" s="3">
        <f t="shared" si="78"/>
        <v>50.749711649365629</v>
      </c>
      <c r="CS46" s="3">
        <f t="shared" si="79"/>
        <v>0.57670126874279126</v>
      </c>
      <c r="CT46" s="3">
        <f t="shared" si="80"/>
        <v>0</v>
      </c>
      <c r="CU46" s="3">
        <f t="shared" si="25"/>
        <v>51.326412918108417</v>
      </c>
      <c r="CW46" s="36">
        <f t="shared" si="51"/>
        <v>39</v>
      </c>
      <c r="CX46" s="37">
        <f t="shared" si="52"/>
        <v>41175</v>
      </c>
      <c r="CY46" s="40">
        <v>84008</v>
      </c>
      <c r="CZ46" s="70">
        <v>1000</v>
      </c>
      <c r="DA46" s="70">
        <v>0</v>
      </c>
      <c r="DB46" s="70"/>
      <c r="DC46" s="71">
        <v>2010</v>
      </c>
      <c r="DD46" s="71">
        <f t="shared" si="36"/>
        <v>41175</v>
      </c>
      <c r="DE46" s="72"/>
      <c r="DF46" s="3">
        <f t="shared" si="81"/>
        <v>41.795024875621891</v>
      </c>
      <c r="DG46" s="3">
        <f t="shared" si="82"/>
        <v>0.49751243781094528</v>
      </c>
      <c r="DH46" s="3">
        <f t="shared" si="83"/>
        <v>0</v>
      </c>
      <c r="DI46" s="3">
        <f t="shared" si="29"/>
        <v>42.292537313432838</v>
      </c>
      <c r="DK46" s="36">
        <f t="shared" si="53"/>
        <v>39</v>
      </c>
      <c r="DL46" s="37">
        <f t="shared" si="54"/>
        <v>41546</v>
      </c>
      <c r="DM46" s="70">
        <v>0</v>
      </c>
      <c r="DN46" s="70">
        <v>0</v>
      </c>
      <c r="DO46" s="70">
        <v>0</v>
      </c>
      <c r="DP46" s="70"/>
      <c r="DQ46" s="71"/>
      <c r="DR46" s="71">
        <f t="shared" si="37"/>
        <v>41546</v>
      </c>
      <c r="DS46" s="72"/>
      <c r="DT46" s="3" t="e">
        <f t="shared" si="56"/>
        <v>#DIV/0!</v>
      </c>
      <c r="DU46" s="3" t="e">
        <f t="shared" si="57"/>
        <v>#DIV/0!</v>
      </c>
      <c r="DV46" s="3" t="e">
        <f t="shared" si="58"/>
        <v>#DIV/0!</v>
      </c>
      <c r="DW46" s="3" t="e">
        <f t="shared" si="59"/>
        <v>#DIV/0!</v>
      </c>
    </row>
    <row r="47" spans="3:127">
      <c r="C47" s="36">
        <v>40</v>
      </c>
      <c r="D47" s="37">
        <f t="shared" si="38"/>
        <v>38627</v>
      </c>
      <c r="E47" s="38">
        <v>31000</v>
      </c>
      <c r="F47" s="38">
        <v>5000</v>
      </c>
      <c r="G47" s="58"/>
      <c r="H47" s="39"/>
      <c r="I47" s="58">
        <v>2600</v>
      </c>
      <c r="J47" s="59" t="s">
        <v>49</v>
      </c>
      <c r="K47" s="3"/>
      <c r="L47" s="3">
        <f t="shared" si="60"/>
        <v>11.923076923076923</v>
      </c>
      <c r="M47" s="3">
        <f t="shared" si="61"/>
        <v>1.9230769230769231</v>
      </c>
      <c r="N47" s="3">
        <f t="shared" si="62"/>
        <v>0</v>
      </c>
      <c r="O47" s="3">
        <f t="shared" si="35"/>
        <v>13.846153846153847</v>
      </c>
      <c r="Q47" s="36">
        <f t="shared" si="39"/>
        <v>40</v>
      </c>
      <c r="R47" s="37">
        <f t="shared" si="40"/>
        <v>38991</v>
      </c>
      <c r="S47" s="38">
        <f>(10721+8162.3-5+2757-500+390)+(10721+8162.3-5+2757-500+390)</f>
        <v>43050.6</v>
      </c>
      <c r="T47" s="38">
        <v>3000</v>
      </c>
      <c r="U47" s="58"/>
      <c r="V47" s="39"/>
      <c r="W47" s="63">
        <v>2596</v>
      </c>
      <c r="X47" s="59" t="s">
        <v>101</v>
      </c>
      <c r="Y47" s="3"/>
      <c r="Z47" s="3">
        <f t="shared" si="63"/>
        <v>16.583436055469953</v>
      </c>
      <c r="AA47" s="3">
        <f t="shared" si="64"/>
        <v>1.1556240369799693</v>
      </c>
      <c r="AB47" s="3">
        <f t="shared" si="65"/>
        <v>0</v>
      </c>
      <c r="AC47" s="3">
        <f t="shared" si="5"/>
        <v>17.739060092449922</v>
      </c>
      <c r="AD47" s="3"/>
      <c r="AE47" s="36">
        <f t="shared" si="41"/>
        <v>40</v>
      </c>
      <c r="AF47" s="37">
        <f t="shared" si="42"/>
        <v>39362</v>
      </c>
      <c r="AG47" s="38">
        <v>54000</v>
      </c>
      <c r="AH47" s="38">
        <v>4000</v>
      </c>
      <c r="AI47" s="58"/>
      <c r="AJ47" s="39"/>
      <c r="AK47" s="60">
        <v>1460</v>
      </c>
      <c r="AL47" s="59" t="s">
        <v>153</v>
      </c>
      <c r="AM47" s="3"/>
      <c r="AN47" s="3">
        <f t="shared" si="66"/>
        <v>36.986301369863014</v>
      </c>
      <c r="AO47" s="3">
        <f t="shared" si="67"/>
        <v>2.7397260273972601</v>
      </c>
      <c r="AP47" s="3">
        <f t="shared" si="68"/>
        <v>0</v>
      </c>
      <c r="AQ47" s="3">
        <f t="shared" si="9"/>
        <v>39.726027397260275</v>
      </c>
      <c r="AR47" s="3"/>
      <c r="AS47" s="36">
        <f t="shared" si="43"/>
        <v>40</v>
      </c>
      <c r="AT47" s="37">
        <f t="shared" si="44"/>
        <v>39726</v>
      </c>
      <c r="AU47" s="38">
        <f>(8178-25+8909-25-200-200+5531.55)+(8178-25+8909-25-200-200+5531.55)</f>
        <v>44337.1</v>
      </c>
      <c r="AV47" s="38">
        <v>15000</v>
      </c>
      <c r="AW47" s="39"/>
      <c r="AX47" s="39"/>
      <c r="AY47" s="60">
        <v>2197</v>
      </c>
      <c r="AZ47" s="59" t="s">
        <v>205</v>
      </c>
      <c r="BA47" s="3"/>
      <c r="BB47" s="3">
        <f t="shared" si="69"/>
        <v>17.05273076923077</v>
      </c>
      <c r="BC47" s="3">
        <f t="shared" si="70"/>
        <v>5.7692307692307692</v>
      </c>
      <c r="BD47" s="3">
        <f t="shared" si="71"/>
        <v>0</v>
      </c>
      <c r="BE47" s="3">
        <f t="shared" si="13"/>
        <v>22.82196153846154</v>
      </c>
      <c r="BG47" s="36">
        <f t="shared" si="45"/>
        <v>40</v>
      </c>
      <c r="BH47" s="37">
        <f t="shared" si="46"/>
        <v>40090</v>
      </c>
      <c r="BI47" s="38">
        <f>24000+(8178-25+8909-25-200-200+5531.55)</f>
        <v>46168.55</v>
      </c>
      <c r="BJ47" s="38">
        <v>4000</v>
      </c>
      <c r="BK47" s="38">
        <v>1000</v>
      </c>
      <c r="BL47" s="38"/>
      <c r="BM47" s="60">
        <v>1580</v>
      </c>
      <c r="BN47" s="59" t="s">
        <v>257</v>
      </c>
      <c r="BO47" s="3"/>
      <c r="BP47" s="3">
        <f t="shared" si="72"/>
        <v>29.220601265822786</v>
      </c>
      <c r="BQ47" s="3">
        <f t="shared" si="73"/>
        <v>2.5316455696202533</v>
      </c>
      <c r="BR47" s="3">
        <f t="shared" si="74"/>
        <v>0.63291139240506333</v>
      </c>
      <c r="BS47" s="3">
        <f t="shared" si="17"/>
        <v>32.385158227848102</v>
      </c>
      <c r="BU47" s="36">
        <f t="shared" si="47"/>
        <v>40</v>
      </c>
      <c r="BV47" s="37">
        <f t="shared" si="48"/>
        <v>40454</v>
      </c>
      <c r="BW47" s="38">
        <v>40000</v>
      </c>
      <c r="BX47" s="40">
        <v>3000</v>
      </c>
      <c r="BY47" s="40">
        <v>0</v>
      </c>
      <c r="BZ47" s="38"/>
      <c r="CA47" s="39">
        <v>2562</v>
      </c>
      <c r="CB47" s="65">
        <v>40454</v>
      </c>
      <c r="CC47" s="3"/>
      <c r="CD47" s="3">
        <f t="shared" si="75"/>
        <v>15.612802498048399</v>
      </c>
      <c r="CE47" s="3">
        <f t="shared" si="76"/>
        <v>1.1709601873536299</v>
      </c>
      <c r="CF47" s="3">
        <f t="shared" si="77"/>
        <v>0</v>
      </c>
      <c r="CG47" s="3">
        <f t="shared" si="21"/>
        <v>16.783762685402028</v>
      </c>
      <c r="CI47" s="36">
        <f t="shared" si="49"/>
        <v>40</v>
      </c>
      <c r="CJ47" s="37">
        <f t="shared" si="50"/>
        <v>40818</v>
      </c>
      <c r="CK47" s="40">
        <v>62000</v>
      </c>
      <c r="CL47" s="40">
        <v>0</v>
      </c>
      <c r="CM47" s="40">
        <v>0</v>
      </c>
      <c r="CN47" s="38"/>
      <c r="CO47" s="39">
        <v>1694</v>
      </c>
      <c r="CP47" s="65">
        <v>40818</v>
      </c>
      <c r="CQ47" s="3"/>
      <c r="CR47" s="3">
        <f t="shared" si="78"/>
        <v>36.599763872491145</v>
      </c>
      <c r="CS47" s="3">
        <f t="shared" si="79"/>
        <v>0</v>
      </c>
      <c r="CT47" s="3">
        <f t="shared" si="80"/>
        <v>0</v>
      </c>
      <c r="CU47" s="3">
        <f t="shared" si="25"/>
        <v>36.599763872491145</v>
      </c>
      <c r="CW47" s="36">
        <f t="shared" si="51"/>
        <v>40</v>
      </c>
      <c r="CX47" s="37">
        <f t="shared" si="52"/>
        <v>41182</v>
      </c>
      <c r="CY47" s="40">
        <v>50821</v>
      </c>
      <c r="CZ47" s="70">
        <v>1000</v>
      </c>
      <c r="DA47" s="70">
        <v>0</v>
      </c>
      <c r="DB47" s="70"/>
      <c r="DC47" s="71">
        <v>2094</v>
      </c>
      <c r="DD47" s="71">
        <f t="shared" si="36"/>
        <v>41182</v>
      </c>
      <c r="DE47" s="72"/>
      <c r="DF47" s="3">
        <f t="shared" si="81"/>
        <v>24.269818529130848</v>
      </c>
      <c r="DG47" s="3">
        <f t="shared" si="82"/>
        <v>0.47755491881566381</v>
      </c>
      <c r="DH47" s="3">
        <f t="shared" si="83"/>
        <v>0</v>
      </c>
      <c r="DI47" s="3">
        <f t="shared" si="29"/>
        <v>24.747373447946512</v>
      </c>
      <c r="DK47" s="36">
        <f t="shared" si="53"/>
        <v>40</v>
      </c>
      <c r="DL47" s="37">
        <f t="shared" si="54"/>
        <v>41553</v>
      </c>
      <c r="DM47" s="70">
        <v>0</v>
      </c>
      <c r="DN47" s="70">
        <v>0</v>
      </c>
      <c r="DO47" s="70">
        <v>0</v>
      </c>
      <c r="DP47" s="70"/>
      <c r="DQ47" s="71"/>
      <c r="DR47" s="71">
        <f t="shared" si="37"/>
        <v>41553</v>
      </c>
      <c r="DS47" s="72"/>
      <c r="DT47" s="3" t="e">
        <f t="shared" si="56"/>
        <v>#DIV/0!</v>
      </c>
      <c r="DU47" s="3" t="e">
        <f t="shared" si="57"/>
        <v>#DIV/0!</v>
      </c>
      <c r="DV47" s="3" t="e">
        <f t="shared" si="58"/>
        <v>#DIV/0!</v>
      </c>
      <c r="DW47" s="3" t="e">
        <f t="shared" si="59"/>
        <v>#DIV/0!</v>
      </c>
    </row>
    <row r="48" spans="3:127">
      <c r="C48" s="36">
        <v>41</v>
      </c>
      <c r="D48" s="37">
        <f t="shared" si="38"/>
        <v>38634</v>
      </c>
      <c r="E48" s="38">
        <v>28000</v>
      </c>
      <c r="F48" s="38">
        <v>1000</v>
      </c>
      <c r="G48" s="58"/>
      <c r="H48" s="39"/>
      <c r="I48" s="58">
        <v>2656</v>
      </c>
      <c r="J48" s="59" t="s">
        <v>50</v>
      </c>
      <c r="K48" s="3"/>
      <c r="L48" s="3">
        <f t="shared" si="60"/>
        <v>10.542168674698795</v>
      </c>
      <c r="M48" s="3">
        <f t="shared" si="61"/>
        <v>0.37650602409638556</v>
      </c>
      <c r="N48" s="3">
        <f t="shared" si="62"/>
        <v>0</v>
      </c>
      <c r="O48" s="3">
        <f t="shared" si="35"/>
        <v>10.918674698795181</v>
      </c>
      <c r="Q48" s="36">
        <f t="shared" si="39"/>
        <v>41</v>
      </c>
      <c r="R48" s="37">
        <f t="shared" si="40"/>
        <v>38998</v>
      </c>
      <c r="S48" s="38">
        <f>(5191.59-70+6841.9-75-71-500+1868-320)+(5191.59-70+6841.9-75-71-500+1868-320)</f>
        <v>25730.98</v>
      </c>
      <c r="T48" s="38">
        <v>4000</v>
      </c>
      <c r="U48" s="58"/>
      <c r="V48" s="39"/>
      <c r="W48" s="63">
        <v>2272</v>
      </c>
      <c r="X48" s="59" t="s">
        <v>102</v>
      </c>
      <c r="Y48" s="3"/>
      <c r="Z48" s="3">
        <f t="shared" si="63"/>
        <v>11.32525528169014</v>
      </c>
      <c r="AA48" s="3">
        <f t="shared" si="64"/>
        <v>1.7605633802816902</v>
      </c>
      <c r="AB48" s="3">
        <f t="shared" si="65"/>
        <v>0</v>
      </c>
      <c r="AC48" s="3">
        <f t="shared" si="5"/>
        <v>13.08581866197183</v>
      </c>
      <c r="AD48" s="3"/>
      <c r="AE48" s="36">
        <f t="shared" si="41"/>
        <v>41</v>
      </c>
      <c r="AF48" s="37">
        <f t="shared" si="42"/>
        <v>39369</v>
      </c>
      <c r="AG48" s="38">
        <v>42000</v>
      </c>
      <c r="AH48" s="38">
        <v>9000</v>
      </c>
      <c r="AI48" s="58"/>
      <c r="AJ48" s="39"/>
      <c r="AK48" s="60">
        <v>1364</v>
      </c>
      <c r="AL48" s="59" t="s">
        <v>154</v>
      </c>
      <c r="AM48" s="3"/>
      <c r="AN48" s="3">
        <f t="shared" si="66"/>
        <v>30.791788856304986</v>
      </c>
      <c r="AO48" s="3">
        <f t="shared" si="67"/>
        <v>6.5982404692082115</v>
      </c>
      <c r="AP48" s="3">
        <f t="shared" si="68"/>
        <v>0</v>
      </c>
      <c r="AQ48" s="3">
        <f t="shared" si="9"/>
        <v>37.390029325513197</v>
      </c>
      <c r="AR48" s="3"/>
      <c r="AS48" s="36">
        <f t="shared" si="43"/>
        <v>41</v>
      </c>
      <c r="AT48" s="37">
        <f t="shared" si="44"/>
        <v>39733</v>
      </c>
      <c r="AU48" s="38">
        <f>(6594.11-45-25+6391.2-340+4364)+(6594.11-45-25+6391.2-340+4364)</f>
        <v>33878.619999999995</v>
      </c>
      <c r="AV48" s="38">
        <v>5000</v>
      </c>
      <c r="AW48" s="39"/>
      <c r="AX48" s="39"/>
      <c r="AY48" s="60">
        <v>2198</v>
      </c>
      <c r="AZ48" s="59" t="s">
        <v>206</v>
      </c>
      <c r="BA48" s="3"/>
      <c r="BB48" s="3">
        <f t="shared" si="69"/>
        <v>12.755504518072287</v>
      </c>
      <c r="BC48" s="3">
        <f t="shared" si="70"/>
        <v>1.8825301204819278</v>
      </c>
      <c r="BD48" s="3">
        <f t="shared" si="71"/>
        <v>0</v>
      </c>
      <c r="BE48" s="3">
        <f t="shared" si="13"/>
        <v>14.638034638554215</v>
      </c>
      <c r="BG48" s="36">
        <f t="shared" si="45"/>
        <v>41</v>
      </c>
      <c r="BH48" s="37">
        <f t="shared" si="46"/>
        <v>40097</v>
      </c>
      <c r="BI48" s="38">
        <f>24000+(6594.11-45-25+6391.2-340+4364)</f>
        <v>40939.31</v>
      </c>
      <c r="BJ48" s="38">
        <v>4000</v>
      </c>
      <c r="BK48" s="38">
        <v>1000</v>
      </c>
      <c r="BL48" s="38"/>
      <c r="BM48" s="60">
        <v>1864</v>
      </c>
      <c r="BN48" s="59" t="s">
        <v>258</v>
      </c>
      <c r="BO48" s="3"/>
      <c r="BP48" s="3">
        <f t="shared" si="72"/>
        <v>21.9631491416309</v>
      </c>
      <c r="BQ48" s="3">
        <f t="shared" si="73"/>
        <v>2.1459227467811157</v>
      </c>
      <c r="BR48" s="3">
        <f t="shared" si="74"/>
        <v>0.53648068669527893</v>
      </c>
      <c r="BS48" s="3">
        <f t="shared" si="17"/>
        <v>24.645552575107295</v>
      </c>
      <c r="BU48" s="36">
        <f t="shared" si="47"/>
        <v>41</v>
      </c>
      <c r="BV48" s="37">
        <f t="shared" si="48"/>
        <v>40461</v>
      </c>
      <c r="BW48" s="38">
        <v>40000</v>
      </c>
      <c r="BX48" s="40">
        <v>1000</v>
      </c>
      <c r="BY48" s="40">
        <v>1000</v>
      </c>
      <c r="BZ48" s="38"/>
      <c r="CA48" s="39">
        <v>2572</v>
      </c>
      <c r="CB48" s="65">
        <v>40461</v>
      </c>
      <c r="CC48" s="3"/>
      <c r="CD48" s="3">
        <f t="shared" si="75"/>
        <v>15.552099533437014</v>
      </c>
      <c r="CE48" s="3">
        <f t="shared" si="76"/>
        <v>0.38880248833592534</v>
      </c>
      <c r="CF48" s="3">
        <f t="shared" si="77"/>
        <v>0.38880248833592534</v>
      </c>
      <c r="CG48" s="3">
        <f t="shared" si="21"/>
        <v>16.329704510108865</v>
      </c>
      <c r="CI48" s="36">
        <f t="shared" si="49"/>
        <v>41</v>
      </c>
      <c r="CJ48" s="37">
        <f t="shared" si="50"/>
        <v>40825</v>
      </c>
      <c r="CK48" s="40">
        <v>68000</v>
      </c>
      <c r="CL48" s="40">
        <v>0</v>
      </c>
      <c r="CM48" s="40">
        <v>1000</v>
      </c>
      <c r="CN48" s="38"/>
      <c r="CO48" s="39">
        <v>1660</v>
      </c>
      <c r="CP48" s="65">
        <v>40825</v>
      </c>
      <c r="CQ48" s="3"/>
      <c r="CR48" s="3">
        <f t="shared" si="78"/>
        <v>40.963855421686745</v>
      </c>
      <c r="CS48" s="3">
        <f t="shared" si="79"/>
        <v>0</v>
      </c>
      <c r="CT48" s="3">
        <f t="shared" si="80"/>
        <v>0.60240963855421692</v>
      </c>
      <c r="CU48" s="3">
        <f t="shared" si="25"/>
        <v>41.566265060240958</v>
      </c>
      <c r="CW48" s="36">
        <f t="shared" si="51"/>
        <v>41</v>
      </c>
      <c r="CX48" s="37">
        <f t="shared" si="52"/>
        <v>41189</v>
      </c>
      <c r="CY48" s="40">
        <v>82717</v>
      </c>
      <c r="CZ48" s="70">
        <v>0</v>
      </c>
      <c r="DA48" s="70">
        <v>0</v>
      </c>
      <c r="DB48" s="70"/>
      <c r="DC48" s="71">
        <v>1932</v>
      </c>
      <c r="DD48" s="71">
        <f t="shared" si="36"/>
        <v>41189</v>
      </c>
      <c r="DE48" s="72"/>
      <c r="DF48" s="3">
        <f t="shared" si="81"/>
        <v>42.814182194616976</v>
      </c>
      <c r="DG48" s="3">
        <f t="shared" si="82"/>
        <v>0</v>
      </c>
      <c r="DH48" s="3">
        <f t="shared" si="83"/>
        <v>0</v>
      </c>
      <c r="DI48" s="3">
        <f t="shared" si="29"/>
        <v>42.814182194616976</v>
      </c>
      <c r="DK48" s="36">
        <f t="shared" si="53"/>
        <v>41</v>
      </c>
      <c r="DL48" s="37">
        <f t="shared" si="54"/>
        <v>41560</v>
      </c>
      <c r="DM48" s="70">
        <v>0</v>
      </c>
      <c r="DN48" s="70">
        <v>0</v>
      </c>
      <c r="DO48" s="70">
        <v>0</v>
      </c>
      <c r="DP48" s="70"/>
      <c r="DQ48" s="71"/>
      <c r="DR48" s="71">
        <f t="shared" si="37"/>
        <v>41560</v>
      </c>
      <c r="DS48" s="72"/>
      <c r="DT48" s="3" t="e">
        <f t="shared" si="56"/>
        <v>#DIV/0!</v>
      </c>
      <c r="DU48" s="3" t="e">
        <f t="shared" si="57"/>
        <v>#DIV/0!</v>
      </c>
      <c r="DV48" s="3" t="e">
        <f t="shared" si="58"/>
        <v>#DIV/0!</v>
      </c>
      <c r="DW48" s="3" t="e">
        <f t="shared" si="59"/>
        <v>#DIV/0!</v>
      </c>
    </row>
    <row r="49" spans="3:127">
      <c r="C49" s="36">
        <v>42</v>
      </c>
      <c r="D49" s="37">
        <f t="shared" si="38"/>
        <v>38641</v>
      </c>
      <c r="E49" s="38">
        <v>20000</v>
      </c>
      <c r="F49" s="38">
        <v>2000</v>
      </c>
      <c r="G49" s="58"/>
      <c r="H49" s="39"/>
      <c r="I49" s="58">
        <v>2628</v>
      </c>
      <c r="J49" s="59" t="s">
        <v>51</v>
      </c>
      <c r="K49" s="3"/>
      <c r="L49" s="3">
        <f t="shared" si="60"/>
        <v>7.6103500761035008</v>
      </c>
      <c r="M49" s="3">
        <f t="shared" si="61"/>
        <v>0.76103500761035003</v>
      </c>
      <c r="N49" s="3">
        <f t="shared" si="62"/>
        <v>0</v>
      </c>
      <c r="O49" s="3">
        <f t="shared" si="35"/>
        <v>8.3713850837138502</v>
      </c>
      <c r="Q49" s="36">
        <f t="shared" si="39"/>
        <v>42</v>
      </c>
      <c r="R49" s="37">
        <f t="shared" si="40"/>
        <v>39005</v>
      </c>
      <c r="S49" s="38">
        <v>23724.6</v>
      </c>
      <c r="T49" s="38">
        <v>1000</v>
      </c>
      <c r="U49" s="58"/>
      <c r="V49" s="39"/>
      <c r="W49" s="63">
        <v>2184</v>
      </c>
      <c r="X49" s="59" t="s">
        <v>103</v>
      </c>
      <c r="Y49" s="3"/>
      <c r="Z49" s="3">
        <f t="shared" si="63"/>
        <v>10.862912087912088</v>
      </c>
      <c r="AA49" s="3">
        <f t="shared" si="64"/>
        <v>0.45787545787545786</v>
      </c>
      <c r="AB49" s="3">
        <f t="shared" si="65"/>
        <v>0</v>
      </c>
      <c r="AC49" s="3">
        <f t="shared" si="5"/>
        <v>11.320787545787546</v>
      </c>
      <c r="AD49" s="3"/>
      <c r="AE49" s="36">
        <f t="shared" si="41"/>
        <v>42</v>
      </c>
      <c r="AF49" s="37">
        <f t="shared" si="42"/>
        <v>39376</v>
      </c>
      <c r="AG49" s="38">
        <v>24000</v>
      </c>
      <c r="AH49" s="38">
        <v>4000</v>
      </c>
      <c r="AI49" s="58"/>
      <c r="AJ49" s="39"/>
      <c r="AK49" s="60">
        <v>1252</v>
      </c>
      <c r="AL49" s="59" t="s">
        <v>155</v>
      </c>
      <c r="AM49" s="3"/>
      <c r="AN49" s="3">
        <f t="shared" si="66"/>
        <v>19.169329073482427</v>
      </c>
      <c r="AO49" s="3">
        <f t="shared" si="67"/>
        <v>3.1948881789137382</v>
      </c>
      <c r="AP49" s="3">
        <f t="shared" si="68"/>
        <v>0</v>
      </c>
      <c r="AQ49" s="3">
        <f t="shared" si="9"/>
        <v>22.364217252396166</v>
      </c>
      <c r="AR49" s="3"/>
      <c r="AS49" s="36">
        <f t="shared" si="43"/>
        <v>42</v>
      </c>
      <c r="AT49" s="37">
        <f t="shared" si="44"/>
        <v>39740</v>
      </c>
      <c r="AU49" s="38">
        <f>(7860.3-184-25+5237-40+6835)+(7860.3-184-25+5237-40+6835)</f>
        <v>39366.6</v>
      </c>
      <c r="AV49" s="38">
        <v>6000</v>
      </c>
      <c r="AW49" s="39"/>
      <c r="AX49" s="39"/>
      <c r="AY49" s="60">
        <v>1958</v>
      </c>
      <c r="AZ49" s="59" t="s">
        <v>207</v>
      </c>
      <c r="BA49" s="3"/>
      <c r="BB49" s="3">
        <f t="shared" si="69"/>
        <v>14.979680365296803</v>
      </c>
      <c r="BC49" s="3">
        <f t="shared" si="70"/>
        <v>2.2831050228310503</v>
      </c>
      <c r="BD49" s="3">
        <f t="shared" si="71"/>
        <v>0</v>
      </c>
      <c r="BE49" s="3">
        <f t="shared" si="13"/>
        <v>17.262785388127853</v>
      </c>
      <c r="BG49" s="36">
        <f t="shared" si="45"/>
        <v>42</v>
      </c>
      <c r="BH49" s="37">
        <f t="shared" si="46"/>
        <v>40104</v>
      </c>
      <c r="BI49" s="38">
        <f>16000+(7860.3-184-25+5237-40+6835)</f>
        <v>35683.300000000003</v>
      </c>
      <c r="BJ49" s="38">
        <v>8000</v>
      </c>
      <c r="BK49" s="38">
        <v>1000</v>
      </c>
      <c r="BL49" s="38"/>
      <c r="BM49" s="60">
        <v>1580</v>
      </c>
      <c r="BN49" s="59" t="s">
        <v>259</v>
      </c>
      <c r="BO49" s="3"/>
      <c r="BP49" s="3">
        <f t="shared" si="72"/>
        <v>22.584367088607596</v>
      </c>
      <c r="BQ49" s="3">
        <f t="shared" si="73"/>
        <v>5.0632911392405067</v>
      </c>
      <c r="BR49" s="3">
        <f t="shared" si="74"/>
        <v>0.63291139240506333</v>
      </c>
      <c r="BS49" s="3">
        <f t="shared" si="17"/>
        <v>28.280569620253168</v>
      </c>
      <c r="BU49" s="36">
        <f t="shared" si="47"/>
        <v>42</v>
      </c>
      <c r="BV49" s="37">
        <f t="shared" si="48"/>
        <v>40468</v>
      </c>
      <c r="BW49" s="38">
        <v>40000</v>
      </c>
      <c r="BX49" s="40">
        <v>1000</v>
      </c>
      <c r="BY49" s="40">
        <v>0</v>
      </c>
      <c r="BZ49" s="38"/>
      <c r="CA49" s="41">
        <v>2700</v>
      </c>
      <c r="CB49" s="65">
        <v>40468</v>
      </c>
      <c r="CC49" s="3"/>
      <c r="CD49" s="3">
        <f t="shared" si="75"/>
        <v>14.814814814814815</v>
      </c>
      <c r="CE49" s="3">
        <f t="shared" si="76"/>
        <v>0.37037037037037035</v>
      </c>
      <c r="CF49" s="3">
        <f t="shared" si="77"/>
        <v>0</v>
      </c>
      <c r="CG49" s="3">
        <f t="shared" si="21"/>
        <v>15.185185185185185</v>
      </c>
      <c r="CI49" s="36">
        <f t="shared" si="49"/>
        <v>42</v>
      </c>
      <c r="CJ49" s="37">
        <f t="shared" si="50"/>
        <v>40832</v>
      </c>
      <c r="CK49" s="40">
        <v>58000</v>
      </c>
      <c r="CL49" s="40">
        <v>1000</v>
      </c>
      <c r="CM49" s="40">
        <v>0</v>
      </c>
      <c r="CN49" s="38"/>
      <c r="CO49" s="41">
        <v>1828</v>
      </c>
      <c r="CP49" s="65">
        <v>40832</v>
      </c>
      <c r="CQ49" s="3"/>
      <c r="CR49" s="3">
        <f t="shared" si="78"/>
        <v>31.728665207877462</v>
      </c>
      <c r="CS49" s="3">
        <f t="shared" si="79"/>
        <v>0.54704595185995619</v>
      </c>
      <c r="CT49" s="3">
        <f t="shared" si="80"/>
        <v>0</v>
      </c>
      <c r="CU49" s="3">
        <f t="shared" si="25"/>
        <v>32.275711159737419</v>
      </c>
      <c r="CW49" s="36">
        <f t="shared" si="51"/>
        <v>42</v>
      </c>
      <c r="CX49" s="37">
        <f t="shared" si="52"/>
        <v>41196</v>
      </c>
      <c r="CY49" s="40">
        <v>63691</v>
      </c>
      <c r="CZ49" s="70">
        <v>0</v>
      </c>
      <c r="DA49" s="70">
        <v>0</v>
      </c>
      <c r="DB49" s="70"/>
      <c r="DC49" s="71">
        <v>1858</v>
      </c>
      <c r="DD49" s="71">
        <f t="shared" si="36"/>
        <v>41196</v>
      </c>
      <c r="DE49" s="72"/>
      <c r="DF49" s="3">
        <f t="shared" si="81"/>
        <v>34.279332615715823</v>
      </c>
      <c r="DG49" s="3">
        <f t="shared" si="82"/>
        <v>0</v>
      </c>
      <c r="DH49" s="3">
        <f t="shared" si="83"/>
        <v>0</v>
      </c>
      <c r="DI49" s="3">
        <f t="shared" si="29"/>
        <v>34.279332615715823</v>
      </c>
      <c r="DK49" s="36">
        <f t="shared" si="53"/>
        <v>42</v>
      </c>
      <c r="DL49" s="37">
        <f t="shared" si="54"/>
        <v>41567</v>
      </c>
      <c r="DM49" s="70">
        <v>0</v>
      </c>
      <c r="DN49" s="70">
        <v>0</v>
      </c>
      <c r="DO49" s="70">
        <v>0</v>
      </c>
      <c r="DP49" s="70"/>
      <c r="DQ49" s="71"/>
      <c r="DR49" s="71">
        <f t="shared" si="37"/>
        <v>41567</v>
      </c>
      <c r="DS49" s="72"/>
      <c r="DT49" s="3" t="e">
        <f t="shared" si="56"/>
        <v>#DIV/0!</v>
      </c>
      <c r="DU49" s="3" t="e">
        <f t="shared" si="57"/>
        <v>#DIV/0!</v>
      </c>
      <c r="DV49" s="3" t="e">
        <f t="shared" si="58"/>
        <v>#DIV/0!</v>
      </c>
      <c r="DW49" s="3" t="e">
        <f t="shared" si="59"/>
        <v>#DIV/0!</v>
      </c>
    </row>
    <row r="50" spans="3:127">
      <c r="C50" s="36">
        <v>43</v>
      </c>
      <c r="D50" s="37">
        <f t="shared" si="38"/>
        <v>38648</v>
      </c>
      <c r="E50" s="38">
        <v>22000</v>
      </c>
      <c r="F50" s="38">
        <v>3000</v>
      </c>
      <c r="G50" s="58"/>
      <c r="H50" s="39"/>
      <c r="I50" s="58">
        <v>2500</v>
      </c>
      <c r="J50" s="59" t="s">
        <v>52</v>
      </c>
      <c r="K50" s="3"/>
      <c r="L50" s="3">
        <f t="shared" si="60"/>
        <v>8.8000000000000007</v>
      </c>
      <c r="M50" s="3">
        <f t="shared" si="61"/>
        <v>1.2</v>
      </c>
      <c r="N50" s="3">
        <f t="shared" si="62"/>
        <v>0</v>
      </c>
      <c r="O50" s="3">
        <f t="shared" si="35"/>
        <v>10</v>
      </c>
      <c r="Q50" s="36">
        <f t="shared" si="39"/>
        <v>43</v>
      </c>
      <c r="R50" s="37">
        <f t="shared" si="40"/>
        <v>39012</v>
      </c>
      <c r="S50" s="38">
        <f>(2956.66+11485.42+4576.87-233-121-130)+(2956.66+11485.42+4576.87-233-121-130)</f>
        <v>37069.9</v>
      </c>
      <c r="T50" s="38">
        <v>3000</v>
      </c>
      <c r="U50" s="58"/>
      <c r="V50" s="39"/>
      <c r="W50" s="63">
        <v>2516</v>
      </c>
      <c r="X50" s="59" t="s">
        <v>104</v>
      </c>
      <c r="Y50" s="3"/>
      <c r="Z50" s="3">
        <f t="shared" si="63"/>
        <v>14.733664546899842</v>
      </c>
      <c r="AA50" s="3">
        <f t="shared" si="64"/>
        <v>1.192368839427663</v>
      </c>
      <c r="AB50" s="3">
        <f t="shared" si="65"/>
        <v>0</v>
      </c>
      <c r="AC50" s="3">
        <f t="shared" si="5"/>
        <v>15.926033386327505</v>
      </c>
      <c r="AD50" s="3"/>
      <c r="AE50" s="36">
        <f t="shared" si="41"/>
        <v>43</v>
      </c>
      <c r="AF50" s="37">
        <f t="shared" si="42"/>
        <v>39383</v>
      </c>
      <c r="AG50" s="38">
        <v>26000</v>
      </c>
      <c r="AH50" s="38">
        <v>3000</v>
      </c>
      <c r="AI50" s="58"/>
      <c r="AJ50" s="39"/>
      <c r="AK50" s="60">
        <v>1462</v>
      </c>
      <c r="AL50" s="59" t="s">
        <v>156</v>
      </c>
      <c r="AM50" s="3"/>
      <c r="AN50" s="3">
        <f t="shared" si="66"/>
        <v>17.783857729138166</v>
      </c>
      <c r="AO50" s="3">
        <f t="shared" si="67"/>
        <v>2.0519835841313268</v>
      </c>
      <c r="AP50" s="3">
        <f t="shared" si="68"/>
        <v>0</v>
      </c>
      <c r="AQ50" s="3">
        <f t="shared" si="9"/>
        <v>19.835841313269494</v>
      </c>
      <c r="AR50" s="3"/>
      <c r="AS50" s="36">
        <f t="shared" si="43"/>
        <v>43</v>
      </c>
      <c r="AT50" s="37">
        <f t="shared" si="44"/>
        <v>39747</v>
      </c>
      <c r="AU50" s="38">
        <f>(4350.1-210-145-6+4859.5+4183-25)+(4350.1-210-145-6+4859.5+4183-25)</f>
        <v>26013.200000000001</v>
      </c>
      <c r="AV50" s="38">
        <v>3000</v>
      </c>
      <c r="AW50" s="39"/>
      <c r="AX50" s="39"/>
      <c r="AY50" s="60">
        <v>2161</v>
      </c>
      <c r="AZ50" s="59" t="s">
        <v>208</v>
      </c>
      <c r="BA50" s="3"/>
      <c r="BB50" s="3">
        <f t="shared" si="69"/>
        <v>10.405279999999999</v>
      </c>
      <c r="BC50" s="3">
        <f t="shared" si="70"/>
        <v>1.2</v>
      </c>
      <c r="BD50" s="3">
        <f t="shared" si="71"/>
        <v>0</v>
      </c>
      <c r="BE50" s="3">
        <f t="shared" si="13"/>
        <v>11.605279999999999</v>
      </c>
      <c r="BG50" s="36">
        <f t="shared" si="45"/>
        <v>43</v>
      </c>
      <c r="BH50" s="37">
        <f t="shared" si="46"/>
        <v>40111</v>
      </c>
      <c r="BI50" s="38">
        <f>19000+(4350.1-210-145-6+4859.5+4183-25)</f>
        <v>32006.6</v>
      </c>
      <c r="BJ50" s="38">
        <v>2000</v>
      </c>
      <c r="BK50" s="38">
        <v>2000</v>
      </c>
      <c r="BL50" s="38"/>
      <c r="BM50" s="60">
        <v>1710</v>
      </c>
      <c r="BN50" s="59" t="s">
        <v>260</v>
      </c>
      <c r="BO50" s="3"/>
      <c r="BP50" s="3">
        <f t="shared" si="72"/>
        <v>18.717309941520465</v>
      </c>
      <c r="BQ50" s="3">
        <f t="shared" si="73"/>
        <v>1.1695906432748537</v>
      </c>
      <c r="BR50" s="3">
        <f t="shared" si="74"/>
        <v>1.1695906432748537</v>
      </c>
      <c r="BS50" s="3">
        <f t="shared" si="17"/>
        <v>21.056491228070175</v>
      </c>
      <c r="BU50" s="36">
        <f t="shared" si="47"/>
        <v>43</v>
      </c>
      <c r="BV50" s="37">
        <f t="shared" si="48"/>
        <v>40475</v>
      </c>
      <c r="BW50" s="38">
        <v>40000</v>
      </c>
      <c r="BX50" s="40">
        <v>2000</v>
      </c>
      <c r="BY50" s="40">
        <v>1000</v>
      </c>
      <c r="BZ50" s="38"/>
      <c r="CA50" s="41">
        <v>2473</v>
      </c>
      <c r="CB50" s="65">
        <v>40475</v>
      </c>
      <c r="CC50" s="3"/>
      <c r="CD50" s="3">
        <f t="shared" si="75"/>
        <v>16.174686615446827</v>
      </c>
      <c r="CE50" s="3">
        <f t="shared" si="76"/>
        <v>0.80873433077234125</v>
      </c>
      <c r="CF50" s="3">
        <f t="shared" si="77"/>
        <v>0.40436716538617062</v>
      </c>
      <c r="CG50" s="3">
        <f t="shared" si="21"/>
        <v>17.387788111605339</v>
      </c>
      <c r="CI50" s="36">
        <f t="shared" si="49"/>
        <v>43</v>
      </c>
      <c r="CJ50" s="37">
        <f t="shared" si="50"/>
        <v>40839</v>
      </c>
      <c r="CK50" s="40">
        <v>54000</v>
      </c>
      <c r="CL50" s="40">
        <v>0</v>
      </c>
      <c r="CM50" s="40">
        <v>0</v>
      </c>
      <c r="CN50" s="38"/>
      <c r="CO50" s="41">
        <v>1634</v>
      </c>
      <c r="CP50" s="65">
        <v>40839</v>
      </c>
      <c r="CQ50" s="3"/>
      <c r="CR50" s="3">
        <f t="shared" si="78"/>
        <v>33.047735618115055</v>
      </c>
      <c r="CS50" s="3">
        <f t="shared" si="79"/>
        <v>0</v>
      </c>
      <c r="CT50" s="3">
        <f t="shared" si="80"/>
        <v>0</v>
      </c>
      <c r="CU50" s="3">
        <f t="shared" si="25"/>
        <v>33.047735618115055</v>
      </c>
      <c r="CW50" s="36">
        <f t="shared" si="51"/>
        <v>43</v>
      </c>
      <c r="CX50" s="37">
        <f t="shared" si="52"/>
        <v>41203</v>
      </c>
      <c r="CY50" s="40">
        <v>54020</v>
      </c>
      <c r="CZ50" s="70">
        <v>2000</v>
      </c>
      <c r="DA50" s="70">
        <v>0</v>
      </c>
      <c r="DB50" s="70"/>
      <c r="DC50" s="71">
        <v>1870</v>
      </c>
      <c r="DD50" s="71">
        <f t="shared" si="36"/>
        <v>41203</v>
      </c>
      <c r="DE50" s="72"/>
      <c r="DF50" s="3">
        <f t="shared" si="81"/>
        <v>28.887700534759357</v>
      </c>
      <c r="DG50" s="3">
        <f t="shared" si="82"/>
        <v>1.0695187165775402</v>
      </c>
      <c r="DH50" s="3">
        <f t="shared" si="83"/>
        <v>0</v>
      </c>
      <c r="DI50" s="3">
        <f t="shared" si="29"/>
        <v>29.957219251336898</v>
      </c>
      <c r="DK50" s="36">
        <f t="shared" si="53"/>
        <v>43</v>
      </c>
      <c r="DL50" s="37">
        <f t="shared" si="54"/>
        <v>41574</v>
      </c>
      <c r="DM50" s="70">
        <v>0</v>
      </c>
      <c r="DN50" s="70">
        <v>0</v>
      </c>
      <c r="DO50" s="70">
        <v>0</v>
      </c>
      <c r="DP50" s="70"/>
      <c r="DQ50" s="71"/>
      <c r="DR50" s="71">
        <f t="shared" si="37"/>
        <v>41574</v>
      </c>
      <c r="DS50" s="72"/>
      <c r="DT50" s="3" t="e">
        <f t="shared" si="56"/>
        <v>#DIV/0!</v>
      </c>
      <c r="DU50" s="3" t="e">
        <f t="shared" si="57"/>
        <v>#DIV/0!</v>
      </c>
      <c r="DV50" s="3" t="e">
        <f t="shared" si="58"/>
        <v>#DIV/0!</v>
      </c>
      <c r="DW50" s="3" t="e">
        <f t="shared" si="59"/>
        <v>#DIV/0!</v>
      </c>
    </row>
    <row r="51" spans="3:127">
      <c r="C51" s="36">
        <v>44</v>
      </c>
      <c r="D51" s="37">
        <f t="shared" si="38"/>
        <v>38655</v>
      </c>
      <c r="E51" s="38">
        <v>27000</v>
      </c>
      <c r="F51" s="38">
        <v>2000</v>
      </c>
      <c r="G51" s="58"/>
      <c r="H51" s="39"/>
      <c r="I51" s="58">
        <v>2608</v>
      </c>
      <c r="J51" s="59" t="s">
        <v>53</v>
      </c>
      <c r="K51" s="3"/>
      <c r="L51" s="3">
        <f t="shared" si="60"/>
        <v>10.35276073619632</v>
      </c>
      <c r="M51" s="3">
        <f t="shared" si="61"/>
        <v>0.76687116564417179</v>
      </c>
      <c r="N51" s="3">
        <f t="shared" si="62"/>
        <v>0</v>
      </c>
      <c r="O51" s="3">
        <f t="shared" si="35"/>
        <v>11.119631901840492</v>
      </c>
      <c r="Q51" s="36">
        <f t="shared" si="39"/>
        <v>44</v>
      </c>
      <c r="R51" s="37">
        <f t="shared" si="40"/>
        <v>39019</v>
      </c>
      <c r="S51" s="38">
        <f>(7468.98+5489.95+4136.75-419.55-400)+(7468.98+5489.95+4136.75-419.55-400)</f>
        <v>32552.260000000002</v>
      </c>
      <c r="T51" s="38">
        <v>4000</v>
      </c>
      <c r="U51" s="58"/>
      <c r="V51" s="39"/>
      <c r="W51" s="63">
        <v>2744</v>
      </c>
      <c r="X51" s="59" t="s">
        <v>105</v>
      </c>
      <c r="Y51" s="3"/>
      <c r="Z51" s="3">
        <f t="shared" si="63"/>
        <v>11.863068513119535</v>
      </c>
      <c r="AA51" s="3">
        <f t="shared" si="64"/>
        <v>1.4577259475218658</v>
      </c>
      <c r="AB51" s="3">
        <f t="shared" si="65"/>
        <v>0</v>
      </c>
      <c r="AC51" s="3">
        <f t="shared" si="5"/>
        <v>13.3207944606414</v>
      </c>
      <c r="AD51" s="3"/>
      <c r="AE51" s="36">
        <f t="shared" si="41"/>
        <v>44</v>
      </c>
      <c r="AF51" s="37">
        <f t="shared" si="42"/>
        <v>39390</v>
      </c>
      <c r="AG51" s="38">
        <v>38000</v>
      </c>
      <c r="AH51" s="38">
        <v>3000</v>
      </c>
      <c r="AI51" s="58"/>
      <c r="AJ51" s="39"/>
      <c r="AK51" s="60">
        <v>1258</v>
      </c>
      <c r="AL51" s="59" t="s">
        <v>157</v>
      </c>
      <c r="AM51" s="3"/>
      <c r="AN51" s="3">
        <f t="shared" si="66"/>
        <v>30.206677265500794</v>
      </c>
      <c r="AO51" s="3">
        <f t="shared" si="67"/>
        <v>2.3847376788553261</v>
      </c>
      <c r="AP51" s="3">
        <f t="shared" si="68"/>
        <v>0</v>
      </c>
      <c r="AQ51" s="3">
        <f t="shared" si="9"/>
        <v>32.591414944356117</v>
      </c>
      <c r="AR51" s="3"/>
      <c r="AS51" s="36">
        <f t="shared" si="43"/>
        <v>44</v>
      </c>
      <c r="AT51" s="37">
        <f t="shared" si="44"/>
        <v>39754</v>
      </c>
      <c r="AU51" s="38">
        <f>(7997.67-207-25-140-3+6628.75+6144.2-5)+(7997.67-207-25-140-3+6628.75+6144.2-5)</f>
        <v>40781.24</v>
      </c>
      <c r="AV51" s="38">
        <v>4000</v>
      </c>
      <c r="AW51" s="39"/>
      <c r="AX51" s="39"/>
      <c r="AY51" s="60">
        <v>2069</v>
      </c>
      <c r="AZ51" s="59" t="s">
        <v>209</v>
      </c>
      <c r="BA51" s="3"/>
      <c r="BB51" s="3">
        <f t="shared" si="69"/>
        <v>15.636978527607361</v>
      </c>
      <c r="BC51" s="3">
        <f t="shared" si="70"/>
        <v>1.5337423312883436</v>
      </c>
      <c r="BD51" s="3">
        <f t="shared" si="71"/>
        <v>0</v>
      </c>
      <c r="BE51" s="3">
        <f t="shared" si="13"/>
        <v>17.170720858895706</v>
      </c>
      <c r="BG51" s="36">
        <f t="shared" si="45"/>
        <v>44</v>
      </c>
      <c r="BH51" s="37">
        <f t="shared" si="46"/>
        <v>40118</v>
      </c>
      <c r="BI51" s="38">
        <f>25000+(7997.67-207-25-140-3+6628.75+6144.2-5)</f>
        <v>45390.619999999995</v>
      </c>
      <c r="BJ51" s="38">
        <v>5000</v>
      </c>
      <c r="BK51" s="38">
        <v>1000</v>
      </c>
      <c r="BL51" s="38"/>
      <c r="BM51" s="60">
        <v>1688</v>
      </c>
      <c r="BN51" s="59" t="s">
        <v>261</v>
      </c>
      <c r="BO51" s="3"/>
      <c r="BP51" s="3">
        <f t="shared" si="72"/>
        <v>26.89017772511848</v>
      </c>
      <c r="BQ51" s="3">
        <f t="shared" si="73"/>
        <v>2.9620853080568721</v>
      </c>
      <c r="BR51" s="3">
        <f t="shared" si="74"/>
        <v>0.59241706161137442</v>
      </c>
      <c r="BS51" s="3">
        <f t="shared" si="17"/>
        <v>30.444680094786726</v>
      </c>
      <c r="BU51" s="36">
        <f t="shared" si="47"/>
        <v>44</v>
      </c>
      <c r="BV51" s="37">
        <f t="shared" si="48"/>
        <v>40482</v>
      </c>
      <c r="BW51" s="38">
        <v>40000</v>
      </c>
      <c r="BX51" s="40">
        <v>2000</v>
      </c>
      <c r="BY51" s="40">
        <v>0</v>
      </c>
      <c r="BZ51" s="38"/>
      <c r="CA51" s="41">
        <v>2627</v>
      </c>
      <c r="CB51" s="65">
        <v>40482</v>
      </c>
      <c r="CC51" s="3"/>
      <c r="CD51" s="3">
        <f t="shared" si="75"/>
        <v>15.226494099733536</v>
      </c>
      <c r="CE51" s="3">
        <f t="shared" si="76"/>
        <v>0.76132470498667681</v>
      </c>
      <c r="CF51" s="3">
        <f t="shared" si="77"/>
        <v>0</v>
      </c>
      <c r="CG51" s="3">
        <f t="shared" si="21"/>
        <v>15.987818804720213</v>
      </c>
      <c r="CI51" s="36">
        <f t="shared" si="49"/>
        <v>44</v>
      </c>
      <c r="CJ51" s="37">
        <f t="shared" si="50"/>
        <v>40846</v>
      </c>
      <c r="CK51" s="40">
        <v>44000</v>
      </c>
      <c r="CL51" s="40">
        <v>0</v>
      </c>
      <c r="CM51" s="40">
        <v>0</v>
      </c>
      <c r="CN51" s="38"/>
      <c r="CO51" s="41">
        <v>1698</v>
      </c>
      <c r="CP51" s="65">
        <v>40846</v>
      </c>
      <c r="CQ51" s="3"/>
      <c r="CR51" s="3">
        <f t="shared" si="78"/>
        <v>25.91283863368669</v>
      </c>
      <c r="CS51" s="3">
        <f t="shared" si="79"/>
        <v>0</v>
      </c>
      <c r="CT51" s="3">
        <f t="shared" si="80"/>
        <v>0</v>
      </c>
      <c r="CU51" s="3">
        <f t="shared" si="25"/>
        <v>25.91283863368669</v>
      </c>
      <c r="CW51" s="36">
        <f t="shared" si="51"/>
        <v>44</v>
      </c>
      <c r="CX51" s="37">
        <f t="shared" si="52"/>
        <v>41210</v>
      </c>
      <c r="CY51" s="40">
        <v>50722</v>
      </c>
      <c r="CZ51" s="70">
        <v>1000</v>
      </c>
      <c r="DA51" s="70">
        <v>0</v>
      </c>
      <c r="DB51" s="70"/>
      <c r="DC51" s="71">
        <v>2008</v>
      </c>
      <c r="DD51" s="71">
        <f t="shared" si="36"/>
        <v>41210</v>
      </c>
      <c r="DE51" s="72"/>
      <c r="DF51" s="3">
        <f t="shared" si="81"/>
        <v>25.259960159362549</v>
      </c>
      <c r="DG51" s="3">
        <f t="shared" si="82"/>
        <v>0.49800796812749004</v>
      </c>
      <c r="DH51" s="3">
        <f t="shared" si="83"/>
        <v>0</v>
      </c>
      <c r="DI51" s="3">
        <f t="shared" si="29"/>
        <v>25.757968127490038</v>
      </c>
      <c r="DK51" s="36">
        <f t="shared" si="53"/>
        <v>44</v>
      </c>
      <c r="DL51" s="37">
        <f t="shared" si="54"/>
        <v>41581</v>
      </c>
      <c r="DM51" s="70">
        <v>0</v>
      </c>
      <c r="DN51" s="70">
        <v>0</v>
      </c>
      <c r="DO51" s="70">
        <v>0</v>
      </c>
      <c r="DP51" s="70"/>
      <c r="DQ51" s="71"/>
      <c r="DR51" s="71">
        <f t="shared" si="37"/>
        <v>41581</v>
      </c>
      <c r="DS51" s="72"/>
      <c r="DT51" s="3" t="e">
        <f t="shared" si="56"/>
        <v>#DIV/0!</v>
      </c>
      <c r="DU51" s="3" t="e">
        <f t="shared" si="57"/>
        <v>#DIV/0!</v>
      </c>
      <c r="DV51" s="3" t="e">
        <f t="shared" si="58"/>
        <v>#DIV/0!</v>
      </c>
      <c r="DW51" s="3" t="e">
        <f t="shared" si="59"/>
        <v>#DIV/0!</v>
      </c>
    </row>
    <row r="52" spans="3:127">
      <c r="C52" s="36">
        <v>45</v>
      </c>
      <c r="D52" s="37">
        <f t="shared" si="38"/>
        <v>38662</v>
      </c>
      <c r="E52" s="38">
        <v>24000</v>
      </c>
      <c r="F52" s="38">
        <v>2000</v>
      </c>
      <c r="G52" s="58"/>
      <c r="H52" s="39"/>
      <c r="I52" s="58">
        <v>2448</v>
      </c>
      <c r="J52" s="59" t="s">
        <v>54</v>
      </c>
      <c r="K52" s="3"/>
      <c r="L52" s="3">
        <f t="shared" si="60"/>
        <v>9.8039215686274517</v>
      </c>
      <c r="M52" s="3">
        <f t="shared" si="61"/>
        <v>0.81699346405228757</v>
      </c>
      <c r="N52" s="3">
        <f t="shared" si="62"/>
        <v>0</v>
      </c>
      <c r="O52" s="3">
        <f t="shared" si="35"/>
        <v>10.62091503267974</v>
      </c>
      <c r="Q52" s="36">
        <f t="shared" si="39"/>
        <v>45</v>
      </c>
      <c r="R52" s="37">
        <f t="shared" si="40"/>
        <v>39026</v>
      </c>
      <c r="S52" s="38">
        <f>(4425.02-40+11240.44-40-20-764.1+2628.05)+(4425.02-40+11240.44-40-20-764.1+2628.05)</f>
        <v>34858.82</v>
      </c>
      <c r="T52" s="38">
        <v>16000</v>
      </c>
      <c r="U52" s="58"/>
      <c r="V52" s="39"/>
      <c r="W52" s="63">
        <v>1916</v>
      </c>
      <c r="X52" s="59" t="s">
        <v>106</v>
      </c>
      <c r="Y52" s="3"/>
      <c r="Z52" s="3">
        <f t="shared" si="63"/>
        <v>18.193538622129434</v>
      </c>
      <c r="AA52" s="3">
        <f t="shared" si="64"/>
        <v>8.3507306889352826</v>
      </c>
      <c r="AB52" s="3">
        <f t="shared" si="65"/>
        <v>0</v>
      </c>
      <c r="AC52" s="3">
        <f t="shared" si="5"/>
        <v>26.544269311064717</v>
      </c>
      <c r="AD52" s="3"/>
      <c r="AE52" s="36">
        <f t="shared" si="41"/>
        <v>45</v>
      </c>
      <c r="AF52" s="37">
        <f t="shared" si="42"/>
        <v>39397</v>
      </c>
      <c r="AG52" s="38">
        <v>36000</v>
      </c>
      <c r="AH52" s="38">
        <v>5000</v>
      </c>
      <c r="AI52" s="58"/>
      <c r="AJ52" s="39"/>
      <c r="AK52" s="60">
        <v>1578</v>
      </c>
      <c r="AL52" s="59" t="s">
        <v>158</v>
      </c>
      <c r="AM52" s="3"/>
      <c r="AN52" s="3">
        <f t="shared" si="66"/>
        <v>22.813688212927758</v>
      </c>
      <c r="AO52" s="3">
        <f t="shared" si="67"/>
        <v>3.1685678073510775</v>
      </c>
      <c r="AP52" s="3">
        <f t="shared" si="68"/>
        <v>0</v>
      </c>
      <c r="AQ52" s="3">
        <f t="shared" si="9"/>
        <v>25.982256020278836</v>
      </c>
      <c r="AR52" s="3"/>
      <c r="AS52" s="36">
        <f t="shared" si="43"/>
        <v>45</v>
      </c>
      <c r="AT52" s="37">
        <f t="shared" si="44"/>
        <v>39761</v>
      </c>
      <c r="AU52" s="38">
        <f>(12045.92-50-25-215+8200+5352.91-405-11)+(12045.92-50-25-215+8200+5352.91-405-11)</f>
        <v>49785.659999999996</v>
      </c>
      <c r="AV52" s="38">
        <v>9000</v>
      </c>
      <c r="AW52" s="39"/>
      <c r="AX52" s="39"/>
      <c r="AY52" s="60">
        <v>2330</v>
      </c>
      <c r="AZ52" s="59" t="s">
        <v>210</v>
      </c>
      <c r="BA52" s="3"/>
      <c r="BB52" s="3">
        <f t="shared" si="69"/>
        <v>20.337279411764705</v>
      </c>
      <c r="BC52" s="3">
        <f t="shared" si="70"/>
        <v>3.6764705882352939</v>
      </c>
      <c r="BD52" s="3">
        <f t="shared" si="71"/>
        <v>0</v>
      </c>
      <c r="BE52" s="3">
        <f t="shared" si="13"/>
        <v>24.013749999999998</v>
      </c>
      <c r="BG52" s="36">
        <f t="shared" si="45"/>
        <v>45</v>
      </c>
      <c r="BH52" s="37">
        <f t="shared" si="46"/>
        <v>40125</v>
      </c>
      <c r="BI52" s="38">
        <f>17000+(12045.92-50-25-215+8200+5352.91-405-11)</f>
        <v>41892.83</v>
      </c>
      <c r="BJ52" s="38">
        <v>8000</v>
      </c>
      <c r="BK52" s="38">
        <v>1000</v>
      </c>
      <c r="BL52" s="38"/>
      <c r="BM52" s="60">
        <v>1732</v>
      </c>
      <c r="BN52" s="59" t="s">
        <v>262</v>
      </c>
      <c r="BO52" s="3"/>
      <c r="BP52" s="3">
        <f t="shared" si="72"/>
        <v>24.187546189376445</v>
      </c>
      <c r="BQ52" s="3">
        <f t="shared" si="73"/>
        <v>4.6189376443418011</v>
      </c>
      <c r="BR52" s="3">
        <f t="shared" si="74"/>
        <v>0.57736720554272514</v>
      </c>
      <c r="BS52" s="3">
        <f t="shared" si="17"/>
        <v>29.383851039260971</v>
      </c>
      <c r="BU52" s="36">
        <f t="shared" si="47"/>
        <v>45</v>
      </c>
      <c r="BV52" s="37">
        <f t="shared" si="48"/>
        <v>40489</v>
      </c>
      <c r="BW52" s="38">
        <f>28000+((12045.92-50-25-215+8200+5352.91-405-11)+(12045.92-50-25-215+8200+5352.91-405-11))</f>
        <v>77785.66</v>
      </c>
      <c r="BX52" s="40">
        <v>1000</v>
      </c>
      <c r="BY52" s="40">
        <v>1000</v>
      </c>
      <c r="BZ52" s="38"/>
      <c r="CA52" s="41">
        <v>2682</v>
      </c>
      <c r="CB52" s="65">
        <v>40489</v>
      </c>
      <c r="CC52" s="3"/>
      <c r="CD52" s="3">
        <f t="shared" si="75"/>
        <v>29.002856077554064</v>
      </c>
      <c r="CE52" s="3">
        <f t="shared" si="76"/>
        <v>0.37285607755406414</v>
      </c>
      <c r="CF52" s="3">
        <f t="shared" si="77"/>
        <v>0.37285607755406414</v>
      </c>
      <c r="CG52" s="3">
        <f t="shared" si="21"/>
        <v>29.748568232662194</v>
      </c>
      <c r="CI52" s="36">
        <f t="shared" si="49"/>
        <v>45</v>
      </c>
      <c r="CJ52" s="37">
        <f t="shared" si="50"/>
        <v>40853</v>
      </c>
      <c r="CK52" s="40">
        <v>78000</v>
      </c>
      <c r="CL52" s="40">
        <v>0</v>
      </c>
      <c r="CM52" s="40">
        <v>1000</v>
      </c>
      <c r="CN52" s="38"/>
      <c r="CO52" s="41">
        <v>1874</v>
      </c>
      <c r="CP52" s="65">
        <v>40853</v>
      </c>
      <c r="CQ52" s="3"/>
      <c r="CR52" s="3">
        <f t="shared" si="78"/>
        <v>41.622198505869797</v>
      </c>
      <c r="CS52" s="3">
        <f t="shared" si="79"/>
        <v>0</v>
      </c>
      <c r="CT52" s="3">
        <f t="shared" si="80"/>
        <v>0.53361792956243326</v>
      </c>
      <c r="CU52" s="3">
        <f t="shared" si="25"/>
        <v>42.155816435432229</v>
      </c>
      <c r="CW52" s="36">
        <f t="shared" si="51"/>
        <v>45</v>
      </c>
      <c r="CX52" s="37">
        <f t="shared" si="52"/>
        <v>41217</v>
      </c>
      <c r="CY52" s="40">
        <v>83717</v>
      </c>
      <c r="CZ52" s="70">
        <v>0</v>
      </c>
      <c r="DA52" s="70">
        <v>0</v>
      </c>
      <c r="DB52" s="70"/>
      <c r="DC52" s="71">
        <v>1798</v>
      </c>
      <c r="DD52" s="71">
        <f t="shared" si="36"/>
        <v>41217</v>
      </c>
      <c r="DE52" s="72"/>
      <c r="DF52" s="3">
        <f t="shared" si="81"/>
        <v>46.561179087875416</v>
      </c>
      <c r="DG52" s="3">
        <f t="shared" si="82"/>
        <v>0</v>
      </c>
      <c r="DH52" s="3">
        <f t="shared" si="83"/>
        <v>0</v>
      </c>
      <c r="DI52" s="3">
        <f t="shared" si="29"/>
        <v>46.561179087875416</v>
      </c>
      <c r="DK52" s="36">
        <f t="shared" si="53"/>
        <v>45</v>
      </c>
      <c r="DL52" s="37">
        <f t="shared" si="54"/>
        <v>41588</v>
      </c>
      <c r="DM52" s="70">
        <v>0</v>
      </c>
      <c r="DN52" s="70">
        <v>0</v>
      </c>
      <c r="DO52" s="70">
        <v>0</v>
      </c>
      <c r="DP52" s="70"/>
      <c r="DQ52" s="71"/>
      <c r="DR52" s="71">
        <f t="shared" si="37"/>
        <v>41588</v>
      </c>
      <c r="DS52" s="72"/>
      <c r="DT52" s="3" t="e">
        <f t="shared" si="56"/>
        <v>#DIV/0!</v>
      </c>
      <c r="DU52" s="3" t="e">
        <f t="shared" si="57"/>
        <v>#DIV/0!</v>
      </c>
      <c r="DV52" s="3" t="e">
        <f t="shared" si="58"/>
        <v>#DIV/0!</v>
      </c>
      <c r="DW52" s="3" t="e">
        <f t="shared" si="59"/>
        <v>#DIV/0!</v>
      </c>
    </row>
    <row r="53" spans="3:127">
      <c r="C53" s="36">
        <v>46</v>
      </c>
      <c r="D53" s="37">
        <f t="shared" si="38"/>
        <v>38669</v>
      </c>
      <c r="E53" s="38">
        <v>25000</v>
      </c>
      <c r="F53" s="38">
        <v>2000</v>
      </c>
      <c r="G53" s="58"/>
      <c r="H53" s="39"/>
      <c r="I53" s="58">
        <v>2448</v>
      </c>
      <c r="J53" s="59" t="s">
        <v>55</v>
      </c>
      <c r="K53" s="3"/>
      <c r="L53" s="3">
        <f t="shared" si="60"/>
        <v>10.212418300653594</v>
      </c>
      <c r="M53" s="3">
        <f t="shared" si="61"/>
        <v>0.81699346405228757</v>
      </c>
      <c r="N53" s="3">
        <f t="shared" si="62"/>
        <v>0</v>
      </c>
      <c r="O53" s="3">
        <f t="shared" si="35"/>
        <v>11.029411764705882</v>
      </c>
      <c r="Q53" s="36">
        <f t="shared" si="39"/>
        <v>46</v>
      </c>
      <c r="R53" s="37">
        <f t="shared" si="40"/>
        <v>39033</v>
      </c>
      <c r="S53" s="38">
        <f>(6825-75-24-100-50-722+5101-16-220+5687.3-459)+(6825-75-24-100-50-722+5101-16-220+5687.3-459)</f>
        <v>31894.6</v>
      </c>
      <c r="T53" s="38">
        <v>25000</v>
      </c>
      <c r="U53" s="58"/>
      <c r="V53" s="39"/>
      <c r="W53" s="63">
        <v>2396</v>
      </c>
      <c r="X53" s="59" t="s">
        <v>107</v>
      </c>
      <c r="Y53" s="3"/>
      <c r="Z53" s="3">
        <f t="shared" si="63"/>
        <v>13.31160267111853</v>
      </c>
      <c r="AA53" s="3">
        <f t="shared" si="64"/>
        <v>10.434056761268781</v>
      </c>
      <c r="AB53" s="3">
        <f t="shared" si="65"/>
        <v>0</v>
      </c>
      <c r="AC53" s="3">
        <f t="shared" si="5"/>
        <v>23.745659432387313</v>
      </c>
      <c r="AD53" s="3"/>
      <c r="AE53" s="36">
        <f t="shared" si="41"/>
        <v>46</v>
      </c>
      <c r="AF53" s="37">
        <f t="shared" si="42"/>
        <v>39404</v>
      </c>
      <c r="AG53" s="38">
        <v>30000</v>
      </c>
      <c r="AH53" s="38">
        <v>4000</v>
      </c>
      <c r="AI53" s="58"/>
      <c r="AJ53" s="39"/>
      <c r="AK53" s="60">
        <v>1236</v>
      </c>
      <c r="AL53" s="59" t="s">
        <v>159</v>
      </c>
      <c r="AM53" s="3"/>
      <c r="AN53" s="3">
        <f t="shared" si="66"/>
        <v>24.271844660194176</v>
      </c>
      <c r="AO53" s="3">
        <f t="shared" si="67"/>
        <v>3.2362459546925568</v>
      </c>
      <c r="AP53" s="3">
        <f t="shared" si="68"/>
        <v>0</v>
      </c>
      <c r="AQ53" s="3">
        <f t="shared" si="9"/>
        <v>27.508090614886733</v>
      </c>
      <c r="AR53" s="3"/>
      <c r="AS53" s="36">
        <f t="shared" si="43"/>
        <v>46</v>
      </c>
      <c r="AT53" s="37">
        <f t="shared" si="44"/>
        <v>39768</v>
      </c>
      <c r="AU53" s="38">
        <f>(4406.54-25-405+8148.3+1789.38)+(4406.54-25-405+8148.3+1789.38)</f>
        <v>27828.440000000002</v>
      </c>
      <c r="AV53" s="38">
        <v>3000</v>
      </c>
      <c r="AW53" s="39"/>
      <c r="AX53" s="39"/>
      <c r="AY53" s="60">
        <v>1855</v>
      </c>
      <c r="AZ53" s="59" t="s">
        <v>211</v>
      </c>
      <c r="BA53" s="3"/>
      <c r="BB53" s="3">
        <f t="shared" si="69"/>
        <v>11.367826797385622</v>
      </c>
      <c r="BC53" s="3">
        <f t="shared" si="70"/>
        <v>1.2254901960784315</v>
      </c>
      <c r="BD53" s="3">
        <f t="shared" si="71"/>
        <v>0</v>
      </c>
      <c r="BE53" s="3">
        <f t="shared" si="13"/>
        <v>12.593316993464054</v>
      </c>
      <c r="BG53" s="36">
        <f t="shared" si="45"/>
        <v>46</v>
      </c>
      <c r="BH53" s="37">
        <f t="shared" si="46"/>
        <v>40132</v>
      </c>
      <c r="BI53" s="38">
        <f>16000+(4406.54-25-405+8148.3+1789.38)</f>
        <v>29914.22</v>
      </c>
      <c r="BJ53" s="38">
        <v>3000</v>
      </c>
      <c r="BK53" s="38">
        <v>1000</v>
      </c>
      <c r="BL53" s="38"/>
      <c r="BM53" s="60">
        <v>1672</v>
      </c>
      <c r="BN53" s="59" t="s">
        <v>263</v>
      </c>
      <c r="BO53" s="3"/>
      <c r="BP53" s="3">
        <f t="shared" si="72"/>
        <v>17.89127990430622</v>
      </c>
      <c r="BQ53" s="3">
        <f t="shared" si="73"/>
        <v>1.7942583732057416</v>
      </c>
      <c r="BR53" s="3">
        <f t="shared" si="74"/>
        <v>0.59808612440191389</v>
      </c>
      <c r="BS53" s="3">
        <f t="shared" si="17"/>
        <v>20.283624401913876</v>
      </c>
      <c r="BU53" s="36">
        <f t="shared" si="47"/>
        <v>46</v>
      </c>
      <c r="BV53" s="37">
        <f t="shared" si="48"/>
        <v>40496</v>
      </c>
      <c r="BW53" s="38">
        <f>27000+((4406.54-25-405+8148.3+1789.38)+(4406.54-25-405+8148.3+1789.38))</f>
        <v>54828.44</v>
      </c>
      <c r="BX53" s="40">
        <v>1000</v>
      </c>
      <c r="BY53" s="40">
        <v>1000</v>
      </c>
      <c r="BZ53" s="38"/>
      <c r="CA53" s="41">
        <v>2706</v>
      </c>
      <c r="CB53" s="65">
        <v>40496</v>
      </c>
      <c r="CC53" s="3"/>
      <c r="CD53" s="3">
        <f t="shared" si="75"/>
        <v>20.26180339985218</v>
      </c>
      <c r="CE53" s="3">
        <f t="shared" si="76"/>
        <v>0.36954915003695493</v>
      </c>
      <c r="CF53" s="3">
        <f t="shared" si="77"/>
        <v>0.36954915003695493</v>
      </c>
      <c r="CG53" s="3">
        <f t="shared" si="21"/>
        <v>21.000901699926093</v>
      </c>
      <c r="CI53" s="36">
        <f t="shared" si="49"/>
        <v>46</v>
      </c>
      <c r="CJ53" s="37">
        <f t="shared" si="50"/>
        <v>40860</v>
      </c>
      <c r="CK53" s="40">
        <v>44000</v>
      </c>
      <c r="CL53" s="40">
        <v>1000</v>
      </c>
      <c r="CM53" s="40">
        <v>0</v>
      </c>
      <c r="CN53" s="38"/>
      <c r="CO53" s="41">
        <v>1862</v>
      </c>
      <c r="CP53" s="65">
        <v>40860</v>
      </c>
      <c r="CQ53" s="3"/>
      <c r="CR53" s="3">
        <f t="shared" si="78"/>
        <v>23.630504833512351</v>
      </c>
      <c r="CS53" s="3">
        <f t="shared" si="79"/>
        <v>0.53705692803437166</v>
      </c>
      <c r="CT53" s="3">
        <f t="shared" si="80"/>
        <v>0</v>
      </c>
      <c r="CU53" s="3">
        <f t="shared" si="25"/>
        <v>24.167561761546722</v>
      </c>
      <c r="CW53" s="36">
        <f t="shared" si="51"/>
        <v>46</v>
      </c>
      <c r="CX53" s="37">
        <f t="shared" si="52"/>
        <v>41224</v>
      </c>
      <c r="CY53" s="40">
        <v>53682</v>
      </c>
      <c r="CZ53" s="70">
        <v>0</v>
      </c>
      <c r="DA53" s="70">
        <v>0</v>
      </c>
      <c r="DB53" s="70"/>
      <c r="DC53" s="71">
        <v>1924</v>
      </c>
      <c r="DD53" s="71">
        <f t="shared" si="36"/>
        <v>41224</v>
      </c>
      <c r="DE53" s="72"/>
      <c r="DF53" s="3">
        <f t="shared" si="81"/>
        <v>27.901247401247403</v>
      </c>
      <c r="DG53" s="3">
        <f t="shared" si="82"/>
        <v>0</v>
      </c>
      <c r="DH53" s="3">
        <f t="shared" si="83"/>
        <v>0</v>
      </c>
      <c r="DI53" s="3">
        <f t="shared" si="29"/>
        <v>27.901247401247403</v>
      </c>
      <c r="DK53" s="36">
        <f t="shared" si="53"/>
        <v>46</v>
      </c>
      <c r="DL53" s="37">
        <f t="shared" si="54"/>
        <v>41595</v>
      </c>
      <c r="DM53" s="70">
        <v>0</v>
      </c>
      <c r="DN53" s="70">
        <v>0</v>
      </c>
      <c r="DO53" s="70">
        <v>0</v>
      </c>
      <c r="DP53" s="70"/>
      <c r="DQ53" s="71"/>
      <c r="DR53" s="71">
        <f t="shared" si="37"/>
        <v>41595</v>
      </c>
      <c r="DS53" s="72"/>
      <c r="DT53" s="3" t="e">
        <f t="shared" si="56"/>
        <v>#DIV/0!</v>
      </c>
      <c r="DU53" s="3" t="e">
        <f t="shared" si="57"/>
        <v>#DIV/0!</v>
      </c>
      <c r="DV53" s="3" t="e">
        <f t="shared" si="58"/>
        <v>#DIV/0!</v>
      </c>
      <c r="DW53" s="3" t="e">
        <f t="shared" si="59"/>
        <v>#DIV/0!</v>
      </c>
    </row>
    <row r="54" spans="3:127">
      <c r="C54" s="36">
        <v>47</v>
      </c>
      <c r="D54" s="37">
        <f t="shared" si="38"/>
        <v>38676</v>
      </c>
      <c r="E54" s="38">
        <v>29000</v>
      </c>
      <c r="F54" s="38">
        <v>1000</v>
      </c>
      <c r="G54" s="58"/>
      <c r="H54" s="39"/>
      <c r="I54" s="58">
        <v>2456</v>
      </c>
      <c r="J54" s="59" t="s">
        <v>56</v>
      </c>
      <c r="K54" s="3"/>
      <c r="L54" s="3">
        <f t="shared" si="60"/>
        <v>11.807817589576548</v>
      </c>
      <c r="M54" s="3">
        <f t="shared" si="61"/>
        <v>0.40716612377850164</v>
      </c>
      <c r="N54" s="3">
        <f t="shared" si="62"/>
        <v>0</v>
      </c>
      <c r="O54" s="3">
        <f t="shared" si="35"/>
        <v>12.21498371335505</v>
      </c>
      <c r="Q54" s="36">
        <f t="shared" si="39"/>
        <v>47</v>
      </c>
      <c r="R54" s="37">
        <f t="shared" si="40"/>
        <v>39040</v>
      </c>
      <c r="S54" s="38">
        <f>(5396.7+5176-20+3635.89-30-36)+(5396.7+5176-20+3635.89-30-36)</f>
        <v>28245.18</v>
      </c>
      <c r="T54" s="38">
        <v>4000</v>
      </c>
      <c r="U54" s="58"/>
      <c r="V54" s="39"/>
      <c r="W54" s="63">
        <v>2108</v>
      </c>
      <c r="X54" s="59" t="s">
        <v>108</v>
      </c>
      <c r="Y54" s="3"/>
      <c r="Z54" s="3">
        <f t="shared" si="63"/>
        <v>13.39904174573055</v>
      </c>
      <c r="AA54" s="3">
        <f t="shared" si="64"/>
        <v>1.8975332068311195</v>
      </c>
      <c r="AB54" s="3">
        <f t="shared" si="65"/>
        <v>0</v>
      </c>
      <c r="AC54" s="3">
        <f t="shared" si="5"/>
        <v>15.29657495256167</v>
      </c>
      <c r="AD54" s="3"/>
      <c r="AE54" s="36">
        <f t="shared" si="41"/>
        <v>47</v>
      </c>
      <c r="AF54" s="37">
        <f t="shared" si="42"/>
        <v>39411</v>
      </c>
      <c r="AG54" s="38">
        <v>20000</v>
      </c>
      <c r="AH54" s="38">
        <v>2000</v>
      </c>
      <c r="AI54" s="58"/>
      <c r="AJ54" s="39"/>
      <c r="AK54" s="60">
        <v>696</v>
      </c>
      <c r="AL54" s="59" t="s">
        <v>160</v>
      </c>
      <c r="AM54" s="3"/>
      <c r="AN54" s="3">
        <f t="shared" si="66"/>
        <v>28.735632183908045</v>
      </c>
      <c r="AO54" s="3">
        <f t="shared" si="67"/>
        <v>2.8735632183908044</v>
      </c>
      <c r="AP54" s="3">
        <f t="shared" si="68"/>
        <v>0</v>
      </c>
      <c r="AQ54" s="3">
        <f t="shared" si="9"/>
        <v>31.609195402298848</v>
      </c>
      <c r="AR54" s="3"/>
      <c r="AS54" s="36">
        <f t="shared" si="43"/>
        <v>47</v>
      </c>
      <c r="AT54" s="37">
        <f t="shared" si="44"/>
        <v>39775</v>
      </c>
      <c r="AU54" s="38">
        <f>(7098.16-25-99.9+10214.97-220-25-1913+5668.3-25)+(7098.16-25-99.9+10214.97-220-25-1913+5668.3-25)</f>
        <v>41347.06</v>
      </c>
      <c r="AV54" s="38">
        <v>4000</v>
      </c>
      <c r="AW54" s="39"/>
      <c r="AX54" s="39"/>
      <c r="AY54" s="60">
        <v>1440</v>
      </c>
      <c r="AZ54" s="59" t="s">
        <v>212</v>
      </c>
      <c r="BA54" s="3"/>
      <c r="BB54" s="3">
        <f t="shared" si="69"/>
        <v>16.835122149837133</v>
      </c>
      <c r="BC54" s="3">
        <f t="shared" si="70"/>
        <v>1.6286644951140066</v>
      </c>
      <c r="BD54" s="3">
        <f t="shared" si="71"/>
        <v>0</v>
      </c>
      <c r="BE54" s="3">
        <f t="shared" si="13"/>
        <v>18.463786644951139</v>
      </c>
      <c r="BG54" s="36">
        <f t="shared" si="45"/>
        <v>47</v>
      </c>
      <c r="BH54" s="37">
        <f t="shared" si="46"/>
        <v>40139</v>
      </c>
      <c r="BI54" s="38">
        <f>20000+(7098.16-25-99.9+10214.97-220-25-1913+5668.3-25)</f>
        <v>40673.53</v>
      </c>
      <c r="BJ54" s="38">
        <v>4000</v>
      </c>
      <c r="BK54" s="38">
        <v>2000</v>
      </c>
      <c r="BL54" s="38"/>
      <c r="BM54" s="60">
        <v>1968</v>
      </c>
      <c r="BN54" s="59" t="s">
        <v>264</v>
      </c>
      <c r="BO54" s="3"/>
      <c r="BP54" s="3">
        <f t="shared" si="72"/>
        <v>20.667444105691057</v>
      </c>
      <c r="BQ54" s="3">
        <f t="shared" si="73"/>
        <v>2.0325203252032522</v>
      </c>
      <c r="BR54" s="3">
        <f t="shared" si="74"/>
        <v>1.0162601626016261</v>
      </c>
      <c r="BS54" s="3">
        <f t="shared" si="17"/>
        <v>23.716224593495934</v>
      </c>
      <c r="BU54" s="36">
        <f t="shared" si="47"/>
        <v>47</v>
      </c>
      <c r="BV54" s="37">
        <f t="shared" si="48"/>
        <v>40503</v>
      </c>
      <c r="BW54" s="38">
        <f>33000+((7098.16-25-99.9+10214.97-220-25-1913+5668.3-25)+(7098.16-25-99.9+10214.97-220-25-1913+5668.3-25))</f>
        <v>74347.06</v>
      </c>
      <c r="BX54" s="40">
        <v>2000</v>
      </c>
      <c r="BY54" s="40">
        <v>1000</v>
      </c>
      <c r="BZ54" s="38"/>
      <c r="CA54" s="41">
        <v>2540</v>
      </c>
      <c r="CB54" s="65">
        <v>40503</v>
      </c>
      <c r="CC54" s="3"/>
      <c r="CD54" s="3">
        <f t="shared" si="75"/>
        <v>29.270496062992127</v>
      </c>
      <c r="CE54" s="3">
        <f t="shared" si="76"/>
        <v>0.78740157480314965</v>
      </c>
      <c r="CF54" s="3">
        <f t="shared" si="77"/>
        <v>0.39370078740157483</v>
      </c>
      <c r="CG54" s="3">
        <f t="shared" si="21"/>
        <v>30.451598425196849</v>
      </c>
      <c r="CI54" s="36">
        <f t="shared" si="49"/>
        <v>47</v>
      </c>
      <c r="CJ54" s="37">
        <f t="shared" si="50"/>
        <v>40867</v>
      </c>
      <c r="CK54" s="40">
        <v>52000</v>
      </c>
      <c r="CL54" s="40">
        <v>0</v>
      </c>
      <c r="CM54" s="40">
        <v>0</v>
      </c>
      <c r="CN54" s="38"/>
      <c r="CO54" s="41">
        <v>1718</v>
      </c>
      <c r="CP54" s="65">
        <v>40867</v>
      </c>
      <c r="CQ54" s="3"/>
      <c r="CR54" s="3">
        <f t="shared" si="78"/>
        <v>30.267753201396975</v>
      </c>
      <c r="CS54" s="3">
        <f t="shared" si="79"/>
        <v>0</v>
      </c>
      <c r="CT54" s="3">
        <f t="shared" si="80"/>
        <v>0</v>
      </c>
      <c r="CU54" s="3">
        <f t="shared" si="25"/>
        <v>30.267753201396975</v>
      </c>
      <c r="CW54" s="36">
        <f t="shared" si="51"/>
        <v>47</v>
      </c>
      <c r="CX54" s="37">
        <f t="shared" si="52"/>
        <v>41231</v>
      </c>
      <c r="CY54" s="40">
        <v>54116</v>
      </c>
      <c r="CZ54" s="70">
        <v>1000</v>
      </c>
      <c r="DA54" s="70">
        <v>0</v>
      </c>
      <c r="DB54" s="70"/>
      <c r="DC54" s="71">
        <v>1760</v>
      </c>
      <c r="DD54" s="71">
        <f t="shared" si="36"/>
        <v>41231</v>
      </c>
      <c r="DE54" s="72"/>
      <c r="DF54" s="3">
        <f t="shared" si="81"/>
        <v>30.747727272727271</v>
      </c>
      <c r="DG54" s="3">
        <f t="shared" si="82"/>
        <v>0.56818181818181823</v>
      </c>
      <c r="DH54" s="3">
        <f t="shared" si="83"/>
        <v>0</v>
      </c>
      <c r="DI54" s="3">
        <f t="shared" si="29"/>
        <v>31.315909090909088</v>
      </c>
      <c r="DK54" s="36">
        <f t="shared" si="53"/>
        <v>47</v>
      </c>
      <c r="DL54" s="37">
        <f t="shared" si="54"/>
        <v>41602</v>
      </c>
      <c r="DM54" s="70">
        <v>0</v>
      </c>
      <c r="DN54" s="70">
        <v>0</v>
      </c>
      <c r="DO54" s="70">
        <v>0</v>
      </c>
      <c r="DP54" s="70"/>
      <c r="DQ54" s="71"/>
      <c r="DR54" s="71">
        <f t="shared" si="37"/>
        <v>41602</v>
      </c>
      <c r="DS54" s="72"/>
      <c r="DT54" s="3" t="e">
        <f t="shared" si="56"/>
        <v>#DIV/0!</v>
      </c>
      <c r="DU54" s="3" t="e">
        <f t="shared" si="57"/>
        <v>#DIV/0!</v>
      </c>
      <c r="DV54" s="3" t="e">
        <f t="shared" si="58"/>
        <v>#DIV/0!</v>
      </c>
      <c r="DW54" s="3" t="e">
        <f t="shared" si="59"/>
        <v>#DIV/0!</v>
      </c>
    </row>
    <row r="55" spans="3:127">
      <c r="C55" s="36">
        <v>48</v>
      </c>
      <c r="D55" s="37">
        <f t="shared" si="38"/>
        <v>38683</v>
      </c>
      <c r="E55" s="38">
        <v>15000</v>
      </c>
      <c r="F55" s="38">
        <v>1000</v>
      </c>
      <c r="G55" s="58"/>
      <c r="H55" s="39"/>
      <c r="I55" s="58">
        <v>1648</v>
      </c>
      <c r="J55" s="59" t="s">
        <v>57</v>
      </c>
      <c r="K55" s="3"/>
      <c r="L55" s="3">
        <f t="shared" si="60"/>
        <v>9.1019417475728162</v>
      </c>
      <c r="M55" s="3">
        <f t="shared" si="61"/>
        <v>0.60679611650485432</v>
      </c>
      <c r="N55" s="3">
        <f t="shared" si="62"/>
        <v>0</v>
      </c>
      <c r="O55" s="3">
        <f t="shared" si="35"/>
        <v>9.7087378640776709</v>
      </c>
      <c r="Q55" s="36">
        <f t="shared" si="39"/>
        <v>48</v>
      </c>
      <c r="R55" s="37">
        <f t="shared" si="40"/>
        <v>39047</v>
      </c>
      <c r="S55" s="38">
        <f>(4066.1+6642+4203.21-590.5)+(4066.1+6642+4203.21-590.5)</f>
        <v>28641.620000000003</v>
      </c>
      <c r="T55" s="38">
        <v>29000</v>
      </c>
      <c r="U55" s="58"/>
      <c r="V55" s="39"/>
      <c r="W55" s="63">
        <v>1524</v>
      </c>
      <c r="X55" s="59" t="s">
        <v>109</v>
      </c>
      <c r="Y55" s="3"/>
      <c r="Z55" s="3">
        <f t="shared" si="63"/>
        <v>18.793713910761156</v>
      </c>
      <c r="AA55" s="3">
        <f t="shared" si="64"/>
        <v>19.028871391076116</v>
      </c>
      <c r="AB55" s="3">
        <f t="shared" si="65"/>
        <v>0</v>
      </c>
      <c r="AC55" s="3">
        <f t="shared" si="5"/>
        <v>37.822585301837272</v>
      </c>
      <c r="AD55" s="3"/>
      <c r="AE55" s="36">
        <f t="shared" si="41"/>
        <v>48</v>
      </c>
      <c r="AF55" s="37">
        <f t="shared" si="42"/>
        <v>39418</v>
      </c>
      <c r="AG55" s="38">
        <v>46000</v>
      </c>
      <c r="AH55" s="38">
        <v>9000</v>
      </c>
      <c r="AI55" s="58"/>
      <c r="AJ55" s="39"/>
      <c r="AK55" s="60">
        <v>1276</v>
      </c>
      <c r="AL55" s="59" t="s">
        <v>161</v>
      </c>
      <c r="AM55" s="3"/>
      <c r="AN55" s="3">
        <f t="shared" si="66"/>
        <v>36.050156739811911</v>
      </c>
      <c r="AO55" s="3">
        <f t="shared" si="67"/>
        <v>7.0532915360501569</v>
      </c>
      <c r="AP55" s="3">
        <f t="shared" si="68"/>
        <v>0</v>
      </c>
      <c r="AQ55" s="3">
        <f t="shared" si="9"/>
        <v>43.103448275862064</v>
      </c>
      <c r="AR55" s="3"/>
      <c r="AS55" s="36">
        <f t="shared" si="43"/>
        <v>48</v>
      </c>
      <c r="AT55" s="37">
        <f t="shared" si="44"/>
        <v>39782</v>
      </c>
      <c r="AU55" s="38">
        <f>(4657.5-265-25+8030+4265)+(4657.5-265-25+8030+4265)</f>
        <v>33325</v>
      </c>
      <c r="AV55" s="38">
        <v>2000</v>
      </c>
      <c r="AW55" s="39"/>
      <c r="AX55" s="39"/>
      <c r="AY55" s="60">
        <v>1743</v>
      </c>
      <c r="AZ55" s="59" t="s">
        <v>213</v>
      </c>
      <c r="BA55" s="3"/>
      <c r="BB55" s="3">
        <f t="shared" si="69"/>
        <v>20.221480582524272</v>
      </c>
      <c r="BC55" s="3">
        <f t="shared" si="70"/>
        <v>1.2135922330097086</v>
      </c>
      <c r="BD55" s="3">
        <f t="shared" si="71"/>
        <v>0</v>
      </c>
      <c r="BE55" s="3">
        <f t="shared" si="13"/>
        <v>21.435072815533982</v>
      </c>
      <c r="BG55" s="36">
        <f t="shared" si="45"/>
        <v>48</v>
      </c>
      <c r="BH55" s="37">
        <f t="shared" si="46"/>
        <v>40146</v>
      </c>
      <c r="BI55" s="38">
        <f>15000+(4657.5-265-25+8030+4265)</f>
        <v>31662.5</v>
      </c>
      <c r="BJ55" s="38">
        <v>8000</v>
      </c>
      <c r="BK55" s="38">
        <v>2000</v>
      </c>
      <c r="BL55" s="38"/>
      <c r="BM55" s="60">
        <v>1344</v>
      </c>
      <c r="BN55" s="59" t="s">
        <v>265</v>
      </c>
      <c r="BO55" s="3"/>
      <c r="BP55" s="3">
        <f t="shared" si="72"/>
        <v>23.558407738095237</v>
      </c>
      <c r="BQ55" s="3">
        <f t="shared" si="73"/>
        <v>5.9523809523809526</v>
      </c>
      <c r="BR55" s="3">
        <f t="shared" si="74"/>
        <v>1.4880952380952381</v>
      </c>
      <c r="BS55" s="3">
        <f t="shared" si="17"/>
        <v>30.998883928571427</v>
      </c>
      <c r="BU55" s="36">
        <f t="shared" si="47"/>
        <v>48</v>
      </c>
      <c r="BV55" s="37">
        <f t="shared" si="48"/>
        <v>40510</v>
      </c>
      <c r="BW55" s="38">
        <v>30000</v>
      </c>
      <c r="BX55" s="40">
        <v>0</v>
      </c>
      <c r="BY55" s="40">
        <v>4000</v>
      </c>
      <c r="BZ55" s="38"/>
      <c r="CA55" s="41">
        <v>2034</v>
      </c>
      <c r="CB55" s="65">
        <v>40510</v>
      </c>
      <c r="CC55" s="3"/>
      <c r="CD55" s="3">
        <f t="shared" si="75"/>
        <v>14.749262536873156</v>
      </c>
      <c r="CE55" s="3">
        <f t="shared" si="76"/>
        <v>0</v>
      </c>
      <c r="CF55" s="3">
        <f t="shared" si="77"/>
        <v>1.9665683382497541</v>
      </c>
      <c r="CG55" s="3">
        <f t="shared" si="21"/>
        <v>16.715830875122911</v>
      </c>
      <c r="CI55" s="36">
        <f t="shared" si="49"/>
        <v>48</v>
      </c>
      <c r="CJ55" s="37">
        <f t="shared" si="50"/>
        <v>40874</v>
      </c>
      <c r="CK55" s="40">
        <v>56000</v>
      </c>
      <c r="CL55" s="40">
        <v>0</v>
      </c>
      <c r="CM55" s="40">
        <v>0</v>
      </c>
      <c r="CN55" s="38"/>
      <c r="CO55" s="41">
        <v>1398</v>
      </c>
      <c r="CP55" s="65">
        <v>40874</v>
      </c>
      <c r="CQ55" s="3"/>
      <c r="CR55" s="3">
        <f t="shared" si="78"/>
        <v>40.057224606580832</v>
      </c>
      <c r="CS55" s="3">
        <f t="shared" si="79"/>
        <v>0</v>
      </c>
      <c r="CT55" s="3">
        <f t="shared" si="80"/>
        <v>0</v>
      </c>
      <c r="CU55" s="3">
        <f t="shared" si="25"/>
        <v>40.057224606580832</v>
      </c>
      <c r="CW55" s="36">
        <f t="shared" si="51"/>
        <v>48</v>
      </c>
      <c r="CX55" s="37">
        <f t="shared" si="52"/>
        <v>41238</v>
      </c>
      <c r="CY55" s="40">
        <v>49701</v>
      </c>
      <c r="CZ55" s="70">
        <v>1000</v>
      </c>
      <c r="DA55" s="70">
        <v>0</v>
      </c>
      <c r="DB55" s="70"/>
      <c r="DC55" s="71">
        <v>1404</v>
      </c>
      <c r="DD55" s="71">
        <f t="shared" si="36"/>
        <v>41238</v>
      </c>
      <c r="DE55" s="72"/>
      <c r="DF55" s="3">
        <f t="shared" si="81"/>
        <v>35.399572649572647</v>
      </c>
      <c r="DG55" s="3">
        <f t="shared" si="82"/>
        <v>0.71225071225071224</v>
      </c>
      <c r="DH55" s="3">
        <f t="shared" si="83"/>
        <v>0</v>
      </c>
      <c r="DI55" s="3">
        <f t="shared" si="29"/>
        <v>36.111823361823362</v>
      </c>
      <c r="DK55" s="36">
        <f t="shared" si="53"/>
        <v>48</v>
      </c>
      <c r="DL55" s="37">
        <f t="shared" si="54"/>
        <v>41609</v>
      </c>
      <c r="DM55" s="70">
        <v>0</v>
      </c>
      <c r="DN55" s="70">
        <v>0</v>
      </c>
      <c r="DO55" s="70">
        <v>0</v>
      </c>
      <c r="DP55" s="70"/>
      <c r="DQ55" s="71"/>
      <c r="DR55" s="71">
        <f t="shared" si="37"/>
        <v>41609</v>
      </c>
      <c r="DS55" s="72"/>
      <c r="DT55" s="3" t="e">
        <f t="shared" si="56"/>
        <v>#DIV/0!</v>
      </c>
      <c r="DU55" s="3" t="e">
        <f t="shared" si="57"/>
        <v>#DIV/0!</v>
      </c>
      <c r="DV55" s="3" t="e">
        <f t="shared" si="58"/>
        <v>#DIV/0!</v>
      </c>
      <c r="DW55" s="3" t="e">
        <f t="shared" si="59"/>
        <v>#DIV/0!</v>
      </c>
    </row>
    <row r="56" spans="3:127">
      <c r="C56" s="36">
        <v>49</v>
      </c>
      <c r="D56" s="37">
        <f t="shared" si="38"/>
        <v>38690</v>
      </c>
      <c r="E56" s="38">
        <v>48000</v>
      </c>
      <c r="F56" s="38">
        <v>3000</v>
      </c>
      <c r="G56" s="58"/>
      <c r="H56" s="39"/>
      <c r="I56" s="58">
        <v>2716</v>
      </c>
      <c r="J56" s="59" t="s">
        <v>58</v>
      </c>
      <c r="K56" s="3"/>
      <c r="L56" s="3">
        <f t="shared" si="60"/>
        <v>17.673048600883654</v>
      </c>
      <c r="M56" s="3">
        <f t="shared" si="61"/>
        <v>1.1045655375552283</v>
      </c>
      <c r="N56" s="3">
        <f t="shared" si="62"/>
        <v>0</v>
      </c>
      <c r="O56" s="3">
        <f t="shared" si="35"/>
        <v>18.777614138438881</v>
      </c>
      <c r="Q56" s="36">
        <f t="shared" si="39"/>
        <v>49</v>
      </c>
      <c r="R56" s="37">
        <f t="shared" si="40"/>
        <v>39054</v>
      </c>
      <c r="S56" s="38">
        <f>(5161-100+13927.93-348-675-500-150-15-400+4287-360+100+75)+(5161-100+13927.93-348-675-500-150-15-400+4287-360+100+75)</f>
        <v>42005.86</v>
      </c>
      <c r="T56" s="38">
        <v>32000</v>
      </c>
      <c r="U56" s="58"/>
      <c r="V56" s="39"/>
      <c r="W56" s="63">
        <v>2256</v>
      </c>
      <c r="X56" s="59" t="s">
        <v>110</v>
      </c>
      <c r="Y56" s="3"/>
      <c r="Z56" s="3">
        <f t="shared" si="63"/>
        <v>18.619618794326243</v>
      </c>
      <c r="AA56" s="3">
        <f t="shared" si="64"/>
        <v>14.184397163120567</v>
      </c>
      <c r="AB56" s="3">
        <f t="shared" si="65"/>
        <v>0</v>
      </c>
      <c r="AC56" s="3">
        <f t="shared" si="5"/>
        <v>32.804015957446808</v>
      </c>
      <c r="AD56" s="3"/>
      <c r="AE56" s="36">
        <f t="shared" si="41"/>
        <v>49</v>
      </c>
      <c r="AF56" s="37">
        <f t="shared" si="42"/>
        <v>39425</v>
      </c>
      <c r="AG56" s="38">
        <v>38000</v>
      </c>
      <c r="AH56" s="38">
        <v>2000</v>
      </c>
      <c r="AI56" s="58"/>
      <c r="AJ56" s="39"/>
      <c r="AK56" s="60">
        <v>1402</v>
      </c>
      <c r="AL56" s="59" t="s">
        <v>162</v>
      </c>
      <c r="AM56" s="3"/>
      <c r="AN56" s="3">
        <f t="shared" si="66"/>
        <v>27.104136947218258</v>
      </c>
      <c r="AO56" s="3">
        <f t="shared" si="67"/>
        <v>1.4265335235378032</v>
      </c>
      <c r="AP56" s="3">
        <f t="shared" si="68"/>
        <v>0</v>
      </c>
      <c r="AQ56" s="3">
        <f t="shared" si="9"/>
        <v>28.530670470756061</v>
      </c>
      <c r="AR56" s="3"/>
      <c r="AS56" s="36">
        <f t="shared" si="43"/>
        <v>49</v>
      </c>
      <c r="AT56" s="37">
        <f t="shared" si="44"/>
        <v>39789</v>
      </c>
      <c r="AU56" s="38">
        <f>(7529-300-25-310-20+6354.75+5507.65-100)+(7529-300-25-310-20+6354.75+5507.65-100)</f>
        <v>37272.800000000003</v>
      </c>
      <c r="AV56" s="38">
        <v>7000</v>
      </c>
      <c r="AW56" s="39"/>
      <c r="AX56" s="39"/>
      <c r="AY56" s="60">
        <v>2114</v>
      </c>
      <c r="AZ56" s="59" t="s">
        <v>214</v>
      </c>
      <c r="BA56" s="3"/>
      <c r="BB56" s="3">
        <f t="shared" si="69"/>
        <v>13.723416789396172</v>
      </c>
      <c r="BC56" s="3">
        <f t="shared" si="70"/>
        <v>2.5773195876288661</v>
      </c>
      <c r="BD56" s="3">
        <f t="shared" si="71"/>
        <v>0</v>
      </c>
      <c r="BE56" s="3">
        <f t="shared" si="13"/>
        <v>16.300736377025039</v>
      </c>
      <c r="BG56" s="36">
        <f t="shared" si="45"/>
        <v>49</v>
      </c>
      <c r="BH56" s="37">
        <f t="shared" si="46"/>
        <v>40153</v>
      </c>
      <c r="BI56" s="38">
        <f>21000+(7529-300-25-310-20+6354.75+5507.65-100)</f>
        <v>39636.400000000001</v>
      </c>
      <c r="BJ56" s="38">
        <v>5000</v>
      </c>
      <c r="BK56" s="38">
        <v>1000</v>
      </c>
      <c r="BL56" s="38"/>
      <c r="BM56" s="60">
        <v>1712</v>
      </c>
      <c r="BN56" s="59" t="s">
        <v>266</v>
      </c>
      <c r="BO56" s="3"/>
      <c r="BP56" s="3">
        <f t="shared" si="72"/>
        <v>23.15210280373832</v>
      </c>
      <c r="BQ56" s="3">
        <f t="shared" si="73"/>
        <v>2.9205607476635516</v>
      </c>
      <c r="BR56" s="3">
        <f t="shared" si="74"/>
        <v>0.58411214953271029</v>
      </c>
      <c r="BS56" s="3">
        <f t="shared" si="17"/>
        <v>26.656775700934581</v>
      </c>
      <c r="BU56" s="36">
        <f t="shared" si="47"/>
        <v>49</v>
      </c>
      <c r="BV56" s="37">
        <f t="shared" si="48"/>
        <v>40517</v>
      </c>
      <c r="BW56" s="38">
        <v>30000</v>
      </c>
      <c r="BX56" s="40">
        <v>2000</v>
      </c>
      <c r="BY56" s="40">
        <v>5000</v>
      </c>
      <c r="BZ56" s="38"/>
      <c r="CA56" s="41">
        <v>2977</v>
      </c>
      <c r="CB56" s="65">
        <v>40517</v>
      </c>
      <c r="CC56" s="3"/>
      <c r="CD56" s="3">
        <f t="shared" si="75"/>
        <v>10.077258985555929</v>
      </c>
      <c r="CE56" s="3">
        <f t="shared" si="76"/>
        <v>0.67181726570372857</v>
      </c>
      <c r="CF56" s="3">
        <f t="shared" si="77"/>
        <v>1.6795431642593215</v>
      </c>
      <c r="CG56" s="3">
        <f t="shared" si="21"/>
        <v>12.428619415518979</v>
      </c>
      <c r="CI56" s="36">
        <f t="shared" si="49"/>
        <v>49</v>
      </c>
      <c r="CJ56" s="37">
        <f t="shared" si="50"/>
        <v>40881</v>
      </c>
      <c r="CK56" s="40">
        <v>88000</v>
      </c>
      <c r="CL56" s="40">
        <v>0</v>
      </c>
      <c r="CM56" s="40">
        <v>1000</v>
      </c>
      <c r="CN56" s="38"/>
      <c r="CO56" s="41">
        <v>2022</v>
      </c>
      <c r="CP56" s="65">
        <v>40881</v>
      </c>
      <c r="CQ56" s="3"/>
      <c r="CR56" s="3">
        <f t="shared" si="78"/>
        <v>43.521266073194859</v>
      </c>
      <c r="CS56" s="3">
        <f t="shared" si="79"/>
        <v>0</v>
      </c>
      <c r="CT56" s="3">
        <f t="shared" si="80"/>
        <v>0.49455984174085066</v>
      </c>
      <c r="CU56" s="3">
        <f t="shared" si="25"/>
        <v>44.015825914935711</v>
      </c>
      <c r="CW56" s="36">
        <f t="shared" si="51"/>
        <v>49</v>
      </c>
      <c r="CX56" s="37">
        <f t="shared" si="52"/>
        <v>41245</v>
      </c>
      <c r="CY56" s="40">
        <v>93909</v>
      </c>
      <c r="CZ56" s="70">
        <v>0</v>
      </c>
      <c r="DA56" s="70">
        <v>0</v>
      </c>
      <c r="DB56" s="70"/>
      <c r="DC56" s="71">
        <v>2042</v>
      </c>
      <c r="DD56" s="71">
        <f t="shared" si="36"/>
        <v>41245</v>
      </c>
      <c r="DE56" s="72"/>
      <c r="DF56" s="3">
        <f t="shared" si="81"/>
        <v>45.988736532810968</v>
      </c>
      <c r="DG56" s="3">
        <f t="shared" si="82"/>
        <v>0</v>
      </c>
      <c r="DH56" s="3">
        <f t="shared" si="83"/>
        <v>0</v>
      </c>
      <c r="DI56" s="3">
        <f t="shared" si="29"/>
        <v>45.988736532810968</v>
      </c>
      <c r="DK56" s="36">
        <f t="shared" si="53"/>
        <v>49</v>
      </c>
      <c r="DL56" s="37">
        <f t="shared" si="54"/>
        <v>41616</v>
      </c>
      <c r="DM56" s="70">
        <v>0</v>
      </c>
      <c r="DN56" s="70">
        <v>0</v>
      </c>
      <c r="DO56" s="70">
        <v>0</v>
      </c>
      <c r="DP56" s="70"/>
      <c r="DQ56" s="71"/>
      <c r="DR56" s="71">
        <f t="shared" si="37"/>
        <v>41616</v>
      </c>
      <c r="DS56" s="72"/>
      <c r="DT56" s="3" t="e">
        <f t="shared" si="56"/>
        <v>#DIV/0!</v>
      </c>
      <c r="DU56" s="3" t="e">
        <f t="shared" si="57"/>
        <v>#DIV/0!</v>
      </c>
      <c r="DV56" s="3" t="e">
        <f t="shared" si="58"/>
        <v>#DIV/0!</v>
      </c>
      <c r="DW56" s="3" t="e">
        <f t="shared" si="59"/>
        <v>#DIV/0!</v>
      </c>
    </row>
    <row r="57" spans="3:127">
      <c r="C57" s="36">
        <v>50</v>
      </c>
      <c r="D57" s="37">
        <f t="shared" si="38"/>
        <v>38697</v>
      </c>
      <c r="E57" s="38">
        <v>40000</v>
      </c>
      <c r="F57" s="38">
        <v>9000</v>
      </c>
      <c r="G57" s="58"/>
      <c r="H57" s="39"/>
      <c r="I57" s="58">
        <v>2292</v>
      </c>
      <c r="J57" s="59" t="s">
        <v>59</v>
      </c>
      <c r="K57" s="3"/>
      <c r="L57" s="3">
        <f t="shared" si="60"/>
        <v>17.452006980802793</v>
      </c>
      <c r="M57" s="3">
        <f t="shared" si="61"/>
        <v>3.9267015706806281</v>
      </c>
      <c r="N57" s="3">
        <f t="shared" si="62"/>
        <v>0</v>
      </c>
      <c r="O57" s="3">
        <f t="shared" si="35"/>
        <v>21.37870855148342</v>
      </c>
      <c r="Q57" s="36">
        <f t="shared" si="39"/>
        <v>50</v>
      </c>
      <c r="R57" s="37">
        <f t="shared" si="40"/>
        <v>39061</v>
      </c>
      <c r="S57" s="38">
        <f>(4977-100+7453-25+4858-225)+(4977-100+7453-25+4858-225)</f>
        <v>33876</v>
      </c>
      <c r="T57" s="38">
        <v>58000</v>
      </c>
      <c r="U57" s="58"/>
      <c r="V57" s="39"/>
      <c r="W57" s="63">
        <v>2004</v>
      </c>
      <c r="X57" s="59" t="s">
        <v>111</v>
      </c>
      <c r="Y57" s="3"/>
      <c r="Z57" s="3">
        <f t="shared" si="63"/>
        <v>16.904191616766468</v>
      </c>
      <c r="AA57" s="3">
        <f t="shared" si="64"/>
        <v>28.942115768463072</v>
      </c>
      <c r="AB57" s="3">
        <f t="shared" si="65"/>
        <v>0</v>
      </c>
      <c r="AC57" s="3">
        <f t="shared" si="5"/>
        <v>45.846307385229537</v>
      </c>
      <c r="AD57" s="3"/>
      <c r="AE57" s="36">
        <f t="shared" si="41"/>
        <v>50</v>
      </c>
      <c r="AF57" s="37">
        <f t="shared" si="42"/>
        <v>39432</v>
      </c>
      <c r="AG57" s="38">
        <v>42000</v>
      </c>
      <c r="AH57" s="38">
        <v>20000</v>
      </c>
      <c r="AI57" s="58"/>
      <c r="AJ57" s="39"/>
      <c r="AK57" s="60">
        <v>926</v>
      </c>
      <c r="AL57" s="59" t="s">
        <v>163</v>
      </c>
      <c r="AM57" s="3"/>
      <c r="AN57" s="3">
        <f t="shared" si="66"/>
        <v>45.356371490280779</v>
      </c>
      <c r="AO57" s="3">
        <f t="shared" si="67"/>
        <v>21.598272138228943</v>
      </c>
      <c r="AP57" s="3">
        <f t="shared" si="68"/>
        <v>0</v>
      </c>
      <c r="AQ57" s="3">
        <f t="shared" si="9"/>
        <v>66.954643628509729</v>
      </c>
      <c r="AR57" s="3"/>
      <c r="AS57" s="36">
        <f t="shared" si="43"/>
        <v>50</v>
      </c>
      <c r="AT57" s="37">
        <f t="shared" si="44"/>
        <v>39796</v>
      </c>
      <c r="AU57" s="38">
        <f>(17581.65-182-50+7615.5+6119.5-321-560-5)+(17581.65-182-50+7615.5+6119.5-321-560-5)</f>
        <v>60397.3</v>
      </c>
      <c r="AV57" s="38">
        <v>7000</v>
      </c>
      <c r="AW57" s="39"/>
      <c r="AX57" s="39"/>
      <c r="AY57" s="60">
        <v>1703</v>
      </c>
      <c r="AZ57" s="59" t="s">
        <v>215</v>
      </c>
      <c r="BA57" s="3"/>
      <c r="BB57" s="3">
        <f t="shared" si="69"/>
        <v>26.351352530541014</v>
      </c>
      <c r="BC57" s="3">
        <f t="shared" si="70"/>
        <v>3.0541012216404888</v>
      </c>
      <c r="BD57" s="3">
        <f t="shared" si="71"/>
        <v>0</v>
      </c>
      <c r="BE57" s="3">
        <f t="shared" si="13"/>
        <v>29.405453752181504</v>
      </c>
      <c r="BG57" s="36">
        <f t="shared" si="45"/>
        <v>50</v>
      </c>
      <c r="BH57" s="37">
        <f t="shared" si="46"/>
        <v>40160</v>
      </c>
      <c r="BI57" s="38">
        <f>21000+(17581.65-182-50+7615.5+6119.5-321-560-5)</f>
        <v>51198.65</v>
      </c>
      <c r="BJ57" s="38">
        <v>5000</v>
      </c>
      <c r="BK57" s="38">
        <v>1000</v>
      </c>
      <c r="BL57" s="38"/>
      <c r="BM57" s="60">
        <v>1800</v>
      </c>
      <c r="BN57" s="59" t="s">
        <v>267</v>
      </c>
      <c r="BO57" s="3"/>
      <c r="BP57" s="3">
        <f t="shared" si="72"/>
        <v>28.443694444444446</v>
      </c>
      <c r="BQ57" s="3">
        <f t="shared" si="73"/>
        <v>2.7777777777777777</v>
      </c>
      <c r="BR57" s="3">
        <f t="shared" si="74"/>
        <v>0.55555555555555558</v>
      </c>
      <c r="BS57" s="3">
        <f t="shared" si="17"/>
        <v>31.777027777777782</v>
      </c>
      <c r="BU57" s="36">
        <f t="shared" si="47"/>
        <v>50</v>
      </c>
      <c r="BV57" s="37">
        <f t="shared" si="48"/>
        <v>40524</v>
      </c>
      <c r="BW57" s="38">
        <f>27000+((17581.65-182-50+7615.5+6119.5-321-560-5)+(17581.65-182-50+7615.5+6119.5-321-560-5))</f>
        <v>87397.3</v>
      </c>
      <c r="BX57" s="40">
        <v>2000</v>
      </c>
      <c r="BY57" s="40">
        <v>17000</v>
      </c>
      <c r="BZ57" s="38"/>
      <c r="CA57" s="41">
        <v>2686</v>
      </c>
      <c r="CB57" s="65">
        <v>40524</v>
      </c>
      <c r="CC57" s="3"/>
      <c r="CD57" s="3">
        <f t="shared" si="75"/>
        <v>32.538086373790023</v>
      </c>
      <c r="CE57" s="3">
        <f t="shared" si="76"/>
        <v>0.74460163812360391</v>
      </c>
      <c r="CF57" s="3">
        <f t="shared" si="77"/>
        <v>6.3291139240506329</v>
      </c>
      <c r="CG57" s="3">
        <f t="shared" si="21"/>
        <v>39.611801935964259</v>
      </c>
      <c r="CI57" s="36">
        <f t="shared" si="49"/>
        <v>50</v>
      </c>
      <c r="CJ57" s="37">
        <f t="shared" si="50"/>
        <v>40888</v>
      </c>
      <c r="CK57" s="40">
        <v>50000</v>
      </c>
      <c r="CL57" s="40">
        <v>1000</v>
      </c>
      <c r="CM57" s="40">
        <v>0</v>
      </c>
      <c r="CN57" s="38"/>
      <c r="CO57" s="41">
        <v>1788</v>
      </c>
      <c r="CP57" s="65">
        <v>40888</v>
      </c>
      <c r="CQ57" s="3"/>
      <c r="CR57" s="3">
        <f t="shared" si="78"/>
        <v>27.964205816554809</v>
      </c>
      <c r="CS57" s="3">
        <f t="shared" si="79"/>
        <v>0.5592841163310962</v>
      </c>
      <c r="CT57" s="3">
        <f t="shared" si="80"/>
        <v>0</v>
      </c>
      <c r="CU57" s="3">
        <f t="shared" si="25"/>
        <v>28.523489932885905</v>
      </c>
      <c r="CW57" s="36">
        <f t="shared" si="51"/>
        <v>50</v>
      </c>
      <c r="CX57" s="37">
        <f t="shared" si="52"/>
        <v>41252</v>
      </c>
      <c r="CY57" s="40">
        <v>51732</v>
      </c>
      <c r="CZ57" s="70">
        <v>1000</v>
      </c>
      <c r="DA57" s="70">
        <v>0</v>
      </c>
      <c r="DB57" s="70"/>
      <c r="DC57" s="71">
        <v>1868</v>
      </c>
      <c r="DD57" s="71">
        <f t="shared" si="36"/>
        <v>41252</v>
      </c>
      <c r="DE57" s="72"/>
      <c r="DF57" s="3">
        <f t="shared" si="81"/>
        <v>27.693790149892934</v>
      </c>
      <c r="DG57" s="3">
        <f t="shared" si="82"/>
        <v>0.53533190578158463</v>
      </c>
      <c r="DH57" s="3">
        <f t="shared" si="83"/>
        <v>0</v>
      </c>
      <c r="DI57" s="3">
        <f t="shared" si="29"/>
        <v>28.229122055674519</v>
      </c>
      <c r="DK57" s="36">
        <f t="shared" si="53"/>
        <v>50</v>
      </c>
      <c r="DL57" s="37">
        <f t="shared" si="54"/>
        <v>41623</v>
      </c>
      <c r="DM57" s="70">
        <v>0</v>
      </c>
      <c r="DN57" s="70">
        <v>0</v>
      </c>
      <c r="DO57" s="70">
        <v>0</v>
      </c>
      <c r="DP57" s="70"/>
      <c r="DQ57" s="71"/>
      <c r="DR57" s="71">
        <f t="shared" si="37"/>
        <v>41623</v>
      </c>
      <c r="DS57" s="72"/>
      <c r="DT57" s="3" t="e">
        <f t="shared" si="56"/>
        <v>#DIV/0!</v>
      </c>
      <c r="DU57" s="3" t="e">
        <f t="shared" si="57"/>
        <v>#DIV/0!</v>
      </c>
      <c r="DV57" s="3" t="e">
        <f t="shared" si="58"/>
        <v>#DIV/0!</v>
      </c>
      <c r="DW57" s="3" t="e">
        <f t="shared" si="59"/>
        <v>#DIV/0!</v>
      </c>
    </row>
    <row r="58" spans="3:127">
      <c r="C58" s="36">
        <v>51</v>
      </c>
      <c r="D58" s="37">
        <f t="shared" si="38"/>
        <v>38704</v>
      </c>
      <c r="E58" s="38">
        <v>44000</v>
      </c>
      <c r="F58" s="38">
        <v>20000</v>
      </c>
      <c r="G58" s="58"/>
      <c r="H58" s="39"/>
      <c r="I58" s="58">
        <v>1580</v>
      </c>
      <c r="J58" s="59" t="s">
        <v>60</v>
      </c>
      <c r="K58" s="3"/>
      <c r="L58" s="3">
        <f t="shared" si="60"/>
        <v>27.848101265822784</v>
      </c>
      <c r="M58" s="3">
        <f t="shared" si="61"/>
        <v>12.658227848101266</v>
      </c>
      <c r="N58" s="3">
        <f t="shared" si="62"/>
        <v>0</v>
      </c>
      <c r="O58" s="3">
        <f t="shared" si="35"/>
        <v>40.506329113924053</v>
      </c>
      <c r="Q58" s="36">
        <f t="shared" si="39"/>
        <v>51</v>
      </c>
      <c r="R58" s="37">
        <f t="shared" si="40"/>
        <v>39068</v>
      </c>
      <c r="S58" s="38">
        <f>(12528.32-1500-45-190.44+5694-30)+(12528.32-1500-45-190.44+5694-30)</f>
        <v>32913.759999999995</v>
      </c>
      <c r="T58" s="38">
        <v>18000</v>
      </c>
      <c r="U58" s="58"/>
      <c r="V58" s="39"/>
      <c r="W58" s="63">
        <v>1212</v>
      </c>
      <c r="X58" s="59" t="s">
        <v>112</v>
      </c>
      <c r="Y58" s="3"/>
      <c r="Z58" s="3">
        <f t="shared" si="63"/>
        <v>27.156567656765674</v>
      </c>
      <c r="AA58" s="3">
        <f t="shared" si="64"/>
        <v>14.851485148514852</v>
      </c>
      <c r="AB58" s="3">
        <f t="shared" si="65"/>
        <v>0</v>
      </c>
      <c r="AC58" s="3">
        <f t="shared" si="5"/>
        <v>42.008052805280528</v>
      </c>
      <c r="AD58" s="3"/>
      <c r="AE58" s="36">
        <f t="shared" si="41"/>
        <v>51</v>
      </c>
      <c r="AF58" s="37">
        <f t="shared" si="42"/>
        <v>39439</v>
      </c>
      <c r="AG58" s="38">
        <v>50000</v>
      </c>
      <c r="AH58" s="38">
        <v>13000</v>
      </c>
      <c r="AI58" s="58"/>
      <c r="AJ58" s="39"/>
      <c r="AK58" s="60">
        <v>882</v>
      </c>
      <c r="AL58" s="59" t="s">
        <v>164</v>
      </c>
      <c r="AM58" s="3"/>
      <c r="AN58" s="3">
        <f t="shared" si="66"/>
        <v>56.689342403628117</v>
      </c>
      <c r="AO58" s="3">
        <f t="shared" si="67"/>
        <v>14.739229024943311</v>
      </c>
      <c r="AP58" s="3">
        <f t="shared" si="68"/>
        <v>0</v>
      </c>
      <c r="AQ58" s="3">
        <f t="shared" si="9"/>
        <v>71.428571428571431</v>
      </c>
      <c r="AR58" s="3"/>
      <c r="AS58" s="36">
        <f t="shared" si="43"/>
        <v>51</v>
      </c>
      <c r="AT58" s="37">
        <f t="shared" si="44"/>
        <v>39803</v>
      </c>
      <c r="AU58" s="38">
        <f>(22002.25-25-415-1000-1050-130-20+10094.58)+(22002.25-25-415-1000-1050-130-20+10094.58)</f>
        <v>58913.66</v>
      </c>
      <c r="AV58" s="38">
        <v>6000</v>
      </c>
      <c r="AW58" s="39"/>
      <c r="AX58" s="39"/>
      <c r="AY58" s="60">
        <v>1435</v>
      </c>
      <c r="AZ58" s="59" t="s">
        <v>216</v>
      </c>
      <c r="BA58" s="3"/>
      <c r="BB58" s="3">
        <f t="shared" si="69"/>
        <v>37.287126582278482</v>
      </c>
      <c r="BC58" s="3">
        <f t="shared" si="70"/>
        <v>3.7974683544303796</v>
      </c>
      <c r="BD58" s="3">
        <f t="shared" si="71"/>
        <v>0</v>
      </c>
      <c r="BE58" s="3">
        <f t="shared" si="13"/>
        <v>41.084594936708861</v>
      </c>
      <c r="BG58" s="36">
        <f t="shared" si="45"/>
        <v>51</v>
      </c>
      <c r="BH58" s="37">
        <f t="shared" si="46"/>
        <v>40167</v>
      </c>
      <c r="BI58" s="38">
        <f>30000+(22002.25-25-415-1000-1050-130-20+10094.58)</f>
        <v>59456.83</v>
      </c>
      <c r="BJ58" s="38">
        <v>4000</v>
      </c>
      <c r="BK58" s="38">
        <v>1000</v>
      </c>
      <c r="BL58" s="38"/>
      <c r="BM58" s="60">
        <v>1274</v>
      </c>
      <c r="BN58" s="59" t="s">
        <v>268</v>
      </c>
      <c r="BO58" s="3"/>
      <c r="BP58" s="3">
        <f t="shared" si="72"/>
        <v>46.669411302982731</v>
      </c>
      <c r="BQ58" s="3">
        <f t="shared" si="73"/>
        <v>3.1397174254317113</v>
      </c>
      <c r="BR58" s="3">
        <f t="shared" si="74"/>
        <v>0.78492935635792782</v>
      </c>
      <c r="BS58" s="3">
        <f t="shared" si="17"/>
        <v>50.594058084772371</v>
      </c>
      <c r="BU58" s="36">
        <f t="shared" si="47"/>
        <v>51</v>
      </c>
      <c r="BV58" s="37">
        <f t="shared" si="48"/>
        <v>40531</v>
      </c>
      <c r="BW58" s="38">
        <f>38000+((22002.25-25-415-1000-1050-130-20+10094.58)+(22002.25-25-415-1000-1050-130-20+10094.58))</f>
        <v>96913.66</v>
      </c>
      <c r="BX58" s="40">
        <v>3000</v>
      </c>
      <c r="BY58" s="40">
        <v>80000</v>
      </c>
      <c r="BZ58" s="38"/>
      <c r="CA58" s="41">
        <v>1986</v>
      </c>
      <c r="CB58" s="65">
        <v>40531</v>
      </c>
      <c r="CC58" s="3"/>
      <c r="CD58" s="3">
        <f t="shared" si="75"/>
        <v>48.798418932527696</v>
      </c>
      <c r="CE58" s="3">
        <f t="shared" si="76"/>
        <v>1.5105740181268883</v>
      </c>
      <c r="CF58" s="3">
        <f t="shared" si="77"/>
        <v>40.28197381671702</v>
      </c>
      <c r="CG58" s="3">
        <f t="shared" si="21"/>
        <v>90.590966767371611</v>
      </c>
      <c r="CI58" s="36">
        <f t="shared" si="49"/>
        <v>51</v>
      </c>
      <c r="CJ58" s="37">
        <f t="shared" si="50"/>
        <v>40895</v>
      </c>
      <c r="CK58" s="40">
        <v>66000</v>
      </c>
      <c r="CL58" s="40">
        <v>1000</v>
      </c>
      <c r="CM58" s="40">
        <v>10000</v>
      </c>
      <c r="CN58" s="38"/>
      <c r="CO58" s="41">
        <v>1330</v>
      </c>
      <c r="CP58" s="65">
        <v>40895</v>
      </c>
      <c r="CQ58" s="3"/>
      <c r="CR58" s="3">
        <f t="shared" si="78"/>
        <v>49.624060150375939</v>
      </c>
      <c r="CS58" s="3">
        <f t="shared" si="79"/>
        <v>0.75187969924812026</v>
      </c>
      <c r="CT58" s="3">
        <f t="shared" si="80"/>
        <v>7.518796992481203</v>
      </c>
      <c r="CU58" s="3">
        <f t="shared" si="25"/>
        <v>57.89473684210526</v>
      </c>
      <c r="CW58" s="36">
        <f t="shared" si="51"/>
        <v>51</v>
      </c>
      <c r="CX58" s="37">
        <f t="shared" si="52"/>
        <v>41259</v>
      </c>
      <c r="CY58" s="40">
        <v>74679.234349999999</v>
      </c>
      <c r="CZ58" s="70">
        <v>0</v>
      </c>
      <c r="DA58" s="70">
        <v>0</v>
      </c>
      <c r="DB58" s="70"/>
      <c r="DC58" s="71">
        <v>1968</v>
      </c>
      <c r="DD58" s="71">
        <f t="shared" si="36"/>
        <v>41259</v>
      </c>
      <c r="DE58" s="72"/>
      <c r="DF58" s="3">
        <f t="shared" si="81"/>
        <v>37.946765421747969</v>
      </c>
      <c r="DG58" s="3">
        <f t="shared" si="82"/>
        <v>0</v>
      </c>
      <c r="DH58" s="3">
        <f t="shared" si="83"/>
        <v>0</v>
      </c>
      <c r="DI58" s="3">
        <f t="shared" si="29"/>
        <v>37.946765421747969</v>
      </c>
      <c r="DK58" s="36">
        <f t="shared" si="53"/>
        <v>51</v>
      </c>
      <c r="DL58" s="37">
        <f t="shared" si="54"/>
        <v>41630</v>
      </c>
      <c r="DM58" s="70">
        <v>0</v>
      </c>
      <c r="DN58" s="70">
        <v>0</v>
      </c>
      <c r="DO58" s="70">
        <v>0</v>
      </c>
      <c r="DP58" s="70"/>
      <c r="DQ58" s="71"/>
      <c r="DR58" s="71">
        <f t="shared" si="37"/>
        <v>41630</v>
      </c>
      <c r="DS58" s="72"/>
      <c r="DT58" s="3" t="e">
        <f t="shared" si="56"/>
        <v>#DIV/0!</v>
      </c>
      <c r="DU58" s="3" t="e">
        <f t="shared" si="57"/>
        <v>#DIV/0!</v>
      </c>
      <c r="DV58" s="3" t="e">
        <f t="shared" si="58"/>
        <v>#DIV/0!</v>
      </c>
      <c r="DW58" s="3" t="e">
        <f t="shared" si="59"/>
        <v>#DIV/0!</v>
      </c>
    </row>
    <row r="59" spans="3:127">
      <c r="C59" s="36">
        <v>52</v>
      </c>
      <c r="D59" s="37">
        <f t="shared" si="38"/>
        <v>38711</v>
      </c>
      <c r="E59" s="38">
        <v>54000</v>
      </c>
      <c r="F59" s="38">
        <v>49000</v>
      </c>
      <c r="G59" s="58"/>
      <c r="H59" s="39"/>
      <c r="I59" s="58">
        <v>1080</v>
      </c>
      <c r="J59" s="59" t="s">
        <v>61</v>
      </c>
      <c r="K59" s="3"/>
      <c r="L59" s="3">
        <f t="shared" si="60"/>
        <v>50</v>
      </c>
      <c r="M59" s="3">
        <f t="shared" si="61"/>
        <v>45.370370370370374</v>
      </c>
      <c r="N59" s="3">
        <f t="shared" si="62"/>
        <v>0</v>
      </c>
      <c r="O59" s="3">
        <f t="shared" si="35"/>
        <v>95.370370370370381</v>
      </c>
      <c r="Q59" s="36">
        <f t="shared" si="39"/>
        <v>52</v>
      </c>
      <c r="R59" s="37">
        <f t="shared" si="40"/>
        <v>39075</v>
      </c>
      <c r="S59" s="38">
        <f>(10777.39+7421.01-300+S60)+(10777.39+7421.01-300+S60)</f>
        <v>114678.88</v>
      </c>
      <c r="T59" s="38">
        <v>132000</v>
      </c>
      <c r="U59" s="58"/>
      <c r="V59" s="39"/>
      <c r="W59" s="63">
        <v>996</v>
      </c>
      <c r="X59" s="59" t="s">
        <v>113</v>
      </c>
      <c r="Y59" s="3"/>
      <c r="Z59" s="3">
        <f t="shared" si="63"/>
        <v>115.13943775100402</v>
      </c>
      <c r="AA59" s="3">
        <f t="shared" si="64"/>
        <v>132.53012048192772</v>
      </c>
      <c r="AB59" s="3">
        <f t="shared" si="65"/>
        <v>0</v>
      </c>
      <c r="AC59" s="3">
        <f t="shared" si="5"/>
        <v>247.66955823293176</v>
      </c>
      <c r="AD59" s="3"/>
      <c r="AE59" s="36">
        <f t="shared" si="41"/>
        <v>52</v>
      </c>
      <c r="AF59" s="37">
        <f t="shared" si="42"/>
        <v>39446</v>
      </c>
      <c r="AG59" s="38">
        <v>94000</v>
      </c>
      <c r="AH59" s="38">
        <v>17000</v>
      </c>
      <c r="AI59" s="58"/>
      <c r="AJ59" s="39"/>
      <c r="AK59" s="60">
        <v>946</v>
      </c>
      <c r="AL59" s="59" t="s">
        <v>165</v>
      </c>
      <c r="AM59" s="3"/>
      <c r="AN59" s="3">
        <f t="shared" si="66"/>
        <v>99.365750528541227</v>
      </c>
      <c r="AO59" s="3">
        <f t="shared" si="67"/>
        <v>17.970401691331922</v>
      </c>
      <c r="AP59" s="3">
        <f t="shared" si="68"/>
        <v>0</v>
      </c>
      <c r="AQ59" s="3">
        <f t="shared" si="9"/>
        <v>117.33615221987316</v>
      </c>
      <c r="AR59" s="3"/>
      <c r="AS59" s="36">
        <f t="shared" si="43"/>
        <v>52</v>
      </c>
      <c r="AT59" s="37">
        <f t="shared" si="44"/>
        <v>39810</v>
      </c>
      <c r="AU59" s="38">
        <f>(8277-25+15706.5-410-98-100-470+AU60)+(8277-25+15706.5-410-98-100-470+AU60)</f>
        <v>58111.880000000005</v>
      </c>
      <c r="AV59" s="38">
        <v>40000</v>
      </c>
      <c r="AW59" s="39"/>
      <c r="AX59" s="39"/>
      <c r="AY59" s="60">
        <v>1257</v>
      </c>
      <c r="AZ59" s="59" t="s">
        <v>217</v>
      </c>
      <c r="BA59" s="3"/>
      <c r="BB59" s="3">
        <f t="shared" si="69"/>
        <v>53.8072962962963</v>
      </c>
      <c r="BC59" s="3">
        <f t="shared" si="70"/>
        <v>37.037037037037038</v>
      </c>
      <c r="BD59" s="3">
        <f t="shared" si="71"/>
        <v>0</v>
      </c>
      <c r="BE59" s="3">
        <f t="shared" si="13"/>
        <v>90.844333333333338</v>
      </c>
      <c r="BG59" s="36">
        <f t="shared" si="45"/>
        <v>52</v>
      </c>
      <c r="BH59" s="37">
        <f t="shared" si="46"/>
        <v>40174</v>
      </c>
      <c r="BI59" s="38">
        <f>23000+(8277-25+15706.5-410-98-100-470+BI60)</f>
        <v>55968.22</v>
      </c>
      <c r="BJ59" s="38">
        <v>22000</v>
      </c>
      <c r="BK59" s="38">
        <v>15000</v>
      </c>
      <c r="BL59" s="38"/>
      <c r="BM59" s="60">
        <v>1006</v>
      </c>
      <c r="BN59" s="59" t="s">
        <v>269</v>
      </c>
      <c r="BO59" s="3"/>
      <c r="BP59" s="3">
        <f t="shared" si="72"/>
        <v>55.634413518886682</v>
      </c>
      <c r="BQ59" s="3">
        <f t="shared" si="73"/>
        <v>21.868787276341948</v>
      </c>
      <c r="BR59" s="3">
        <f t="shared" si="74"/>
        <v>14.910536779324056</v>
      </c>
      <c r="BS59" s="3">
        <f t="shared" si="17"/>
        <v>92.413737574552684</v>
      </c>
      <c r="BU59" s="36">
        <f t="shared" si="47"/>
        <v>52</v>
      </c>
      <c r="BV59" s="37">
        <f t="shared" si="48"/>
        <v>40538</v>
      </c>
      <c r="BW59" s="38">
        <v>90000</v>
      </c>
      <c r="BX59" s="40">
        <v>3000</v>
      </c>
      <c r="BY59" s="40">
        <v>19000</v>
      </c>
      <c r="BZ59" s="38"/>
      <c r="CA59" s="41">
        <v>1553</v>
      </c>
      <c r="CB59" s="65">
        <v>40538</v>
      </c>
      <c r="CC59" s="3"/>
      <c r="CD59" s="3">
        <f t="shared" si="75"/>
        <v>57.952350289761753</v>
      </c>
      <c r="CE59" s="3">
        <f t="shared" si="76"/>
        <v>1.931745009658725</v>
      </c>
      <c r="CF59" s="3">
        <f t="shared" si="77"/>
        <v>12.234385061171926</v>
      </c>
      <c r="CG59" s="3">
        <f t="shared" si="21"/>
        <v>72.1184803605924</v>
      </c>
      <c r="CI59" s="36">
        <f t="shared" si="49"/>
        <v>52</v>
      </c>
      <c r="CJ59" s="37">
        <f t="shared" si="50"/>
        <v>40902</v>
      </c>
      <c r="CK59" s="40">
        <v>60000</v>
      </c>
      <c r="CL59" s="40">
        <v>0</v>
      </c>
      <c r="CM59" s="40">
        <v>0</v>
      </c>
      <c r="CN59" s="38"/>
      <c r="CO59" s="41">
        <v>1064</v>
      </c>
      <c r="CP59" s="65">
        <v>40902</v>
      </c>
      <c r="CQ59" s="3"/>
      <c r="CR59" s="3">
        <f t="shared" si="78"/>
        <v>56.390977443609025</v>
      </c>
      <c r="CS59" s="3">
        <f t="shared" si="79"/>
        <v>0</v>
      </c>
      <c r="CT59" s="3">
        <f t="shared" si="80"/>
        <v>0</v>
      </c>
      <c r="CU59" s="3">
        <f t="shared" si="25"/>
        <v>56.390977443609025</v>
      </c>
      <c r="CW59" s="36">
        <f>CW58+1</f>
        <v>52</v>
      </c>
      <c r="CX59" s="37">
        <f>CX58+7</f>
        <v>41266</v>
      </c>
      <c r="CY59" s="40">
        <v>33207.656499999997</v>
      </c>
      <c r="CZ59" s="70">
        <v>3000</v>
      </c>
      <c r="DA59" s="70">
        <v>0</v>
      </c>
      <c r="DB59" s="70"/>
      <c r="DC59" s="71">
        <v>1296</v>
      </c>
      <c r="DD59" s="71">
        <f t="shared" si="36"/>
        <v>41266</v>
      </c>
      <c r="DE59" s="72"/>
      <c r="DF59" s="3">
        <f t="shared" si="81"/>
        <v>25.62319174382716</v>
      </c>
      <c r="DG59" s="3">
        <f t="shared" si="82"/>
        <v>2.3148148148148149</v>
      </c>
      <c r="DH59" s="3">
        <f t="shared" si="83"/>
        <v>0</v>
      </c>
      <c r="DI59" s="3">
        <f t="shared" si="29"/>
        <v>27.938006558641973</v>
      </c>
      <c r="DK59" s="36">
        <f>DK58+1</f>
        <v>52</v>
      </c>
      <c r="DL59" s="37">
        <f>DL58+7</f>
        <v>41637</v>
      </c>
      <c r="DM59" s="70">
        <v>0</v>
      </c>
      <c r="DN59" s="70">
        <v>0</v>
      </c>
      <c r="DO59" s="70">
        <v>0</v>
      </c>
      <c r="DP59" s="70"/>
      <c r="DQ59" s="71"/>
      <c r="DR59" s="71">
        <f t="shared" si="37"/>
        <v>41637</v>
      </c>
      <c r="DS59" s="72"/>
      <c r="DT59" s="3" t="e">
        <f t="shared" si="56"/>
        <v>#DIV/0!</v>
      </c>
      <c r="DU59" s="3" t="e">
        <f t="shared" si="57"/>
        <v>#DIV/0!</v>
      </c>
      <c r="DV59" s="3" t="e">
        <f t="shared" si="58"/>
        <v>#DIV/0!</v>
      </c>
      <c r="DW59" s="3" t="e">
        <f t="shared" si="59"/>
        <v>#DIV/0!</v>
      </c>
    </row>
    <row r="60" spans="3:127">
      <c r="C60" s="36">
        <v>53</v>
      </c>
      <c r="D60" s="37"/>
      <c r="E60" s="38">
        <v>18000</v>
      </c>
      <c r="F60" s="38">
        <v>24000</v>
      </c>
      <c r="G60" s="58"/>
      <c r="H60" s="39"/>
      <c r="I60" s="39"/>
      <c r="J60" s="39"/>
      <c r="K60" s="39"/>
      <c r="L60" s="39"/>
      <c r="M60" s="39"/>
      <c r="N60" s="39"/>
      <c r="O60" s="39"/>
      <c r="P60" s="36"/>
      <c r="Q60" s="36">
        <f t="shared" si="39"/>
        <v>53</v>
      </c>
      <c r="R60" s="37">
        <f t="shared" si="40"/>
        <v>39082</v>
      </c>
      <c r="S60" s="38">
        <f>(13634.52+6731-645)+(13634.52+6731-645)</f>
        <v>39441.040000000001</v>
      </c>
      <c r="T60" s="38">
        <v>58000</v>
      </c>
      <c r="U60" s="58"/>
      <c r="V60" s="39"/>
      <c r="W60" s="39"/>
      <c r="X60" s="39"/>
      <c r="Y60" s="39"/>
      <c r="Z60" s="39"/>
      <c r="AA60" s="39"/>
      <c r="AB60" s="39"/>
      <c r="AC60" s="39"/>
      <c r="AD60" s="39"/>
      <c r="AE60" s="36">
        <v>53</v>
      </c>
      <c r="AF60" s="37"/>
      <c r="AG60" s="38">
        <v>30000</v>
      </c>
      <c r="AH60" s="38">
        <v>6000</v>
      </c>
      <c r="AI60" s="58"/>
      <c r="AJ60" s="39"/>
      <c r="AK60" s="39"/>
      <c r="AL60" s="39"/>
      <c r="AM60" s="39"/>
      <c r="AN60" s="39"/>
      <c r="AO60" s="39"/>
      <c r="AP60" s="39"/>
      <c r="AQ60" s="39"/>
      <c r="AR60" s="39"/>
      <c r="AS60" s="36">
        <v>53</v>
      </c>
      <c r="AT60" s="37"/>
      <c r="AU60" s="38">
        <f>(3626.67-340-300-100+201.05)+(3626.67-340-300-100+201.05)</f>
        <v>6175.4400000000005</v>
      </c>
      <c r="AV60" s="38">
        <v>16000</v>
      </c>
      <c r="AW60" s="39"/>
      <c r="AX60" s="39"/>
      <c r="AY60" s="39"/>
      <c r="AZ60" s="39"/>
      <c r="BA60" s="39"/>
      <c r="BB60" s="39"/>
      <c r="BC60" s="39"/>
      <c r="BD60" s="39"/>
      <c r="BE60" s="39"/>
      <c r="BF60" s="36"/>
      <c r="BG60" s="36">
        <v>53</v>
      </c>
      <c r="BH60" s="37"/>
      <c r="BI60" s="38">
        <f>7000+(3626.67-340-300-100+201.05)</f>
        <v>10087.720000000001</v>
      </c>
      <c r="BJ60" s="38">
        <v>9000</v>
      </c>
      <c r="BK60" s="38">
        <v>11000</v>
      </c>
      <c r="BL60" s="38"/>
      <c r="BM60" s="39"/>
      <c r="BN60" s="39"/>
      <c r="BO60" s="39"/>
      <c r="BP60" s="39"/>
      <c r="BQ60" s="39"/>
      <c r="BR60" s="39"/>
      <c r="BS60" s="39"/>
      <c r="BT60" s="36"/>
      <c r="BU60" s="36">
        <v>53</v>
      </c>
      <c r="BV60" s="37"/>
      <c r="BW60" s="38">
        <f>25000+((3626.67-340-300-100+201.05)+(3626.67-340-300-100+201.05))</f>
        <v>31175.440000000002</v>
      </c>
      <c r="BX60" s="40">
        <v>3000</v>
      </c>
      <c r="BY60" s="40">
        <v>11000</v>
      </c>
      <c r="BZ60" s="38"/>
      <c r="CA60" s="40"/>
      <c r="CB60" s="39"/>
      <c r="CC60" s="39"/>
      <c r="CD60" s="39"/>
      <c r="CE60" s="39"/>
      <c r="CF60" s="39"/>
      <c r="CG60" s="39"/>
      <c r="CH60" s="36"/>
      <c r="CI60" s="36">
        <v>53</v>
      </c>
      <c r="CJ60" s="37"/>
      <c r="CK60" s="40">
        <v>82000</v>
      </c>
      <c r="CL60" s="40">
        <v>1000</v>
      </c>
      <c r="CM60" s="40">
        <v>1000</v>
      </c>
      <c r="CN60" s="38"/>
      <c r="CO60" s="40"/>
      <c r="CP60" s="39"/>
      <c r="CQ60" s="39"/>
      <c r="CR60" s="39"/>
      <c r="CS60" s="39"/>
      <c r="CT60" s="39"/>
      <c r="CU60" s="39"/>
      <c r="CV60" s="36"/>
      <c r="CW60" s="36">
        <f>CW59+1</f>
        <v>53</v>
      </c>
      <c r="CX60" s="37">
        <f>CX59+7</f>
        <v>41273</v>
      </c>
      <c r="CY60" s="40">
        <v>167923.435</v>
      </c>
      <c r="CZ60" s="70">
        <v>1000</v>
      </c>
      <c r="DA60" s="70">
        <v>0</v>
      </c>
      <c r="DB60" s="70"/>
      <c r="DC60" s="71">
        <v>1164</v>
      </c>
      <c r="DD60" s="71">
        <f t="shared" si="36"/>
        <v>41273</v>
      </c>
      <c r="DE60" s="71"/>
      <c r="DF60" s="3">
        <f t="shared" si="81"/>
        <v>144.26411941580756</v>
      </c>
      <c r="DG60" s="3">
        <f t="shared" si="82"/>
        <v>0.85910652920962194</v>
      </c>
      <c r="DH60" s="3">
        <f t="shared" si="83"/>
        <v>0</v>
      </c>
      <c r="DI60" s="3">
        <f t="shared" ref="DI60" si="84">SUM(DF60:DH60)</f>
        <v>145.12322594501717</v>
      </c>
      <c r="DJ60" s="36"/>
      <c r="DK60" s="36">
        <f>DK59+1</f>
        <v>53</v>
      </c>
      <c r="DL60" s="37">
        <f>DL59+7</f>
        <v>41644</v>
      </c>
      <c r="DM60" s="70">
        <v>0</v>
      </c>
      <c r="DN60" s="70">
        <v>0</v>
      </c>
      <c r="DO60" s="70">
        <v>0</v>
      </c>
      <c r="DP60" s="70"/>
      <c r="DQ60" s="71"/>
      <c r="DR60" s="71">
        <f t="shared" si="37"/>
        <v>41644</v>
      </c>
      <c r="DS60" s="71"/>
      <c r="DT60" s="3" t="e">
        <f t="shared" si="56"/>
        <v>#DIV/0!</v>
      </c>
      <c r="DU60" s="3" t="e">
        <f t="shared" si="57"/>
        <v>#DIV/0!</v>
      </c>
      <c r="DV60" s="3" t="e">
        <f t="shared" si="58"/>
        <v>#DIV/0!</v>
      </c>
      <c r="DW60" s="3" t="e">
        <f t="shared" si="59"/>
        <v>#DIV/0!</v>
      </c>
    </row>
    <row r="61" spans="3:127">
      <c r="D61" s="15"/>
      <c r="E61" s="16"/>
      <c r="F61" s="3"/>
      <c r="G61" s="3"/>
      <c r="H61" s="3"/>
      <c r="I61" s="3"/>
      <c r="J61" s="3"/>
      <c r="K61" s="3"/>
      <c r="L61" s="3"/>
      <c r="M61" s="3"/>
      <c r="N61" s="3"/>
      <c r="O61" s="3"/>
      <c r="R61" s="15"/>
      <c r="S61" s="16"/>
      <c r="T61" s="3"/>
      <c r="U61" s="3"/>
      <c r="V61" s="3"/>
      <c r="W61" s="3"/>
      <c r="X61" s="3"/>
      <c r="Y61" s="3"/>
      <c r="Z61" s="3"/>
      <c r="AA61" s="3"/>
      <c r="AB61" s="3"/>
      <c r="AC61" s="3"/>
      <c r="AD61" s="3"/>
      <c r="AF61" s="15"/>
      <c r="AG61" s="16"/>
      <c r="AH61" s="3"/>
      <c r="AI61" s="3"/>
      <c r="AJ61" s="3"/>
      <c r="AK61" s="3"/>
      <c r="AL61" s="3"/>
      <c r="AM61" s="3"/>
      <c r="AN61" s="3"/>
      <c r="AO61" s="3"/>
      <c r="AP61" s="3"/>
      <c r="AQ61" s="3"/>
      <c r="AR61" s="3"/>
      <c r="AT61" s="15"/>
      <c r="AU61" s="16"/>
      <c r="AV61" s="3"/>
      <c r="AW61" s="3"/>
      <c r="AX61" s="3"/>
      <c r="AY61" s="3"/>
      <c r="AZ61" s="3"/>
      <c r="BA61" s="3"/>
      <c r="BB61" s="3"/>
      <c r="BC61" s="3"/>
      <c r="BD61" s="3"/>
      <c r="BE61" s="3"/>
      <c r="BH61" s="15"/>
      <c r="BI61" s="16"/>
      <c r="BJ61" s="3"/>
      <c r="BK61" s="3"/>
      <c r="BL61" s="16"/>
      <c r="BM61" s="3"/>
      <c r="BN61" s="3"/>
      <c r="BO61" s="3"/>
      <c r="BP61" s="3"/>
      <c r="BQ61" s="3"/>
      <c r="BR61" s="3"/>
      <c r="BS61" s="3"/>
      <c r="BV61" s="15"/>
      <c r="BW61" s="18"/>
      <c r="BX61" s="3"/>
      <c r="BY61" s="3"/>
      <c r="BZ61" s="18"/>
      <c r="CA61" s="18"/>
      <c r="CB61" s="3"/>
      <c r="CC61" s="3"/>
      <c r="CD61" s="3"/>
      <c r="CE61" s="3"/>
      <c r="CF61" s="3"/>
      <c r="CG61" s="3"/>
      <c r="CJ61" s="15"/>
      <c r="CK61" s="18"/>
      <c r="CL61" s="3"/>
      <c r="CM61" s="3"/>
      <c r="CN61" s="18"/>
      <c r="CO61" s="16"/>
      <c r="CP61" s="62"/>
      <c r="CQ61" s="3"/>
      <c r="CR61" s="3"/>
      <c r="CS61" s="3"/>
      <c r="CT61" s="3"/>
      <c r="CU61" s="3"/>
      <c r="CW61" s="36">
        <f>CW60+1</f>
        <v>54</v>
      </c>
      <c r="CX61" s="37">
        <v>41274</v>
      </c>
      <c r="CY61" s="70">
        <v>20765.650000000001</v>
      </c>
      <c r="CZ61" s="70">
        <v>100</v>
      </c>
      <c r="DA61" s="70">
        <v>0</v>
      </c>
      <c r="DB61" s="70"/>
      <c r="DC61" s="71"/>
      <c r="DD61" s="71">
        <f t="shared" si="36"/>
        <v>41274</v>
      </c>
      <c r="DE61" s="72"/>
      <c r="DF61" s="3"/>
      <c r="DG61" s="3"/>
      <c r="DH61" s="3"/>
      <c r="DI61" s="3"/>
      <c r="DK61" s="36">
        <f>DK60+1</f>
        <v>54</v>
      </c>
      <c r="DL61" s="37">
        <v>41274</v>
      </c>
      <c r="DM61" s="70"/>
      <c r="DN61" s="70"/>
      <c r="DO61" s="70">
        <v>0</v>
      </c>
      <c r="DP61" s="70"/>
      <c r="DQ61" s="71"/>
      <c r="DR61" s="71">
        <f t="shared" si="37"/>
        <v>41274</v>
      </c>
      <c r="DS61" s="72"/>
      <c r="DT61" s="3" t="e">
        <f t="shared" si="56"/>
        <v>#DIV/0!</v>
      </c>
      <c r="DU61" s="3" t="e">
        <f t="shared" si="57"/>
        <v>#DIV/0!</v>
      </c>
      <c r="DV61" s="3" t="e">
        <f t="shared" si="58"/>
        <v>#DIV/0!</v>
      </c>
      <c r="DW61" s="3" t="e">
        <f t="shared" si="59"/>
        <v>#DIV/0!</v>
      </c>
    </row>
    <row r="62" spans="3:127">
      <c r="D62" s="15"/>
      <c r="E62" s="16"/>
      <c r="F62" s="3"/>
      <c r="G62" s="3"/>
      <c r="H62" s="3"/>
      <c r="I62" s="3"/>
      <c r="J62" s="3"/>
      <c r="K62" s="3"/>
      <c r="L62" s="3"/>
      <c r="M62" s="3"/>
      <c r="N62" s="3"/>
      <c r="O62" s="3"/>
      <c r="R62" s="15"/>
      <c r="S62" s="16"/>
      <c r="T62" s="3"/>
      <c r="U62" s="3"/>
      <c r="V62" s="3"/>
      <c r="W62" s="3"/>
      <c r="X62" s="3"/>
      <c r="Y62" s="3"/>
      <c r="Z62" s="3"/>
      <c r="AA62" s="3"/>
      <c r="AB62" s="3"/>
      <c r="AC62" s="3"/>
      <c r="AD62" s="3"/>
      <c r="AF62" s="15"/>
      <c r="AG62" s="16"/>
      <c r="AH62" s="3"/>
      <c r="AI62" s="3"/>
      <c r="AJ62" s="3"/>
      <c r="AK62" s="3"/>
      <c r="AL62" s="3"/>
      <c r="AM62" s="3"/>
      <c r="AN62" s="3"/>
      <c r="AO62" s="3"/>
      <c r="AP62" s="3"/>
      <c r="AQ62" s="3"/>
      <c r="AR62" s="3"/>
      <c r="AT62" s="15"/>
      <c r="AU62" s="16"/>
      <c r="AV62" s="3"/>
      <c r="AW62" s="3"/>
      <c r="AX62" s="3"/>
      <c r="AY62" s="3"/>
      <c r="AZ62" s="3"/>
      <c r="BA62" s="3"/>
      <c r="BB62" s="3"/>
      <c r="BC62" s="3"/>
      <c r="BD62" s="3"/>
      <c r="BE62" s="3"/>
      <c r="BH62" s="15"/>
      <c r="BI62" s="16"/>
      <c r="BJ62" s="3"/>
      <c r="BK62" s="3"/>
      <c r="BL62" s="16"/>
      <c r="BM62" s="3"/>
      <c r="BN62" s="3"/>
      <c r="BO62" s="3"/>
      <c r="BP62" s="3"/>
      <c r="BQ62" s="3"/>
      <c r="BR62" s="3"/>
      <c r="BS62" s="3"/>
      <c r="BV62" s="15"/>
      <c r="BW62" s="18"/>
      <c r="BX62" s="3"/>
      <c r="BY62" s="3"/>
      <c r="BZ62" s="18"/>
      <c r="CA62" s="18"/>
      <c r="CB62" s="3"/>
      <c r="CC62" s="3"/>
      <c r="CD62" s="3"/>
      <c r="CE62" s="3"/>
      <c r="CF62" s="3"/>
      <c r="CG62" s="3"/>
      <c r="CJ62" s="15"/>
      <c r="CK62" s="18"/>
      <c r="CL62" s="3"/>
      <c r="CM62" s="3"/>
      <c r="CN62" s="18"/>
      <c r="CO62" s="16"/>
      <c r="CP62" s="62"/>
      <c r="CQ62" s="3"/>
      <c r="CR62" s="3"/>
      <c r="CS62" s="3"/>
      <c r="CT62" s="3"/>
      <c r="CU62" s="3"/>
      <c r="CW62" s="36"/>
      <c r="CX62" s="37"/>
      <c r="CY62" s="70"/>
      <c r="CZ62" s="70"/>
      <c r="DA62" s="70"/>
      <c r="DB62" s="70"/>
      <c r="DC62" s="71"/>
      <c r="DD62" s="71"/>
      <c r="DE62" s="72"/>
      <c r="DF62" s="3"/>
      <c r="DG62" s="3"/>
      <c r="DH62" s="3"/>
      <c r="DI62" s="3"/>
      <c r="DK62" s="36"/>
      <c r="DL62" s="37"/>
      <c r="DM62" s="70"/>
      <c r="DN62" s="70"/>
      <c r="DO62" s="70"/>
      <c r="DP62" s="70"/>
      <c r="DQ62" s="71"/>
      <c r="DR62" s="71"/>
      <c r="DS62" s="72"/>
      <c r="DT62" s="3"/>
      <c r="DU62" s="3"/>
      <c r="DV62" s="3"/>
      <c r="DW62" s="3"/>
    </row>
    <row r="63" spans="3:127">
      <c r="D63" s="1" t="s">
        <v>5</v>
      </c>
      <c r="E63" s="54">
        <f>SUM(E8:E62)</f>
        <v>1374000</v>
      </c>
      <c r="F63" s="54">
        <f>SUM(F8:F62)</f>
        <v>252000</v>
      </c>
      <c r="G63" s="54">
        <f>SUM(G8:G62)</f>
        <v>0</v>
      </c>
      <c r="H63" s="3"/>
      <c r="I63" s="54">
        <f>AVERAGE(I8:I62)</f>
        <v>2121.7692307692309</v>
      </c>
      <c r="J63" s="62" t="s">
        <v>3</v>
      </c>
      <c r="K63" s="3"/>
      <c r="L63" s="3"/>
      <c r="M63" s="3"/>
      <c r="N63" s="3"/>
      <c r="O63" s="3"/>
      <c r="R63" s="1" t="s">
        <v>5</v>
      </c>
      <c r="S63" s="54">
        <f>SUM(S8:S62)</f>
        <v>1728783.3600000003</v>
      </c>
      <c r="T63" s="54">
        <f>SUM(T8:T62)</f>
        <v>492000</v>
      </c>
      <c r="U63" s="54">
        <f>SUM(U8:U62)</f>
        <v>0</v>
      </c>
      <c r="V63" s="3"/>
      <c r="W63" s="54">
        <f>AVERAGE(W8:W62)</f>
        <v>2097.4615384615386</v>
      </c>
      <c r="X63" s="62" t="s">
        <v>3</v>
      </c>
      <c r="Y63" s="3"/>
      <c r="Z63" s="3"/>
      <c r="AA63" s="3"/>
      <c r="AC63" s="3"/>
      <c r="AD63" s="3"/>
      <c r="AF63" s="1" t="s">
        <v>5</v>
      </c>
      <c r="AG63" s="54">
        <f>SUM(AG8:AG62)</f>
        <v>1834000</v>
      </c>
      <c r="AH63" s="54">
        <f>SUM(AH8:AH62)</f>
        <v>466000</v>
      </c>
      <c r="AI63" s="54">
        <f>SUM(AI8:AI62)</f>
        <v>0</v>
      </c>
      <c r="AJ63" s="3"/>
      <c r="AK63" s="54">
        <f>AVERAGE(AK8:AK62)</f>
        <v>1110.3846153846155</v>
      </c>
      <c r="AL63" s="62" t="s">
        <v>3</v>
      </c>
      <c r="AM63" s="3"/>
      <c r="AN63" s="3"/>
      <c r="AO63" s="3"/>
      <c r="AP63" s="3"/>
      <c r="AQ63" s="3"/>
      <c r="AR63" s="3"/>
      <c r="AT63" s="1" t="s">
        <v>5</v>
      </c>
      <c r="AU63" s="54">
        <f>SUM(AU8:AU62)</f>
        <v>1948094.94</v>
      </c>
      <c r="AV63" s="54">
        <f>SUM(AV8:AV62)</f>
        <v>385000</v>
      </c>
      <c r="AW63" s="54">
        <f>SUM(AW8:AW62)</f>
        <v>0</v>
      </c>
      <c r="AX63" s="3"/>
      <c r="AY63" s="54">
        <f>AVERAGE(AY8:AY62)</f>
        <v>1721.2884615384614</v>
      </c>
      <c r="AZ63" s="62" t="s">
        <v>3</v>
      </c>
      <c r="BA63" s="3"/>
      <c r="BB63" s="3"/>
      <c r="BC63" s="3"/>
      <c r="BD63" s="3"/>
      <c r="BE63" s="3"/>
      <c r="BH63" s="1" t="s">
        <v>5</v>
      </c>
      <c r="BI63" s="54">
        <f>SUM(BI8:BI62)</f>
        <v>2011289.3399999999</v>
      </c>
      <c r="BJ63" s="54">
        <f>SUM(BJ8:BJ62)</f>
        <v>297000</v>
      </c>
      <c r="BK63" s="54">
        <f>SUM(BK8:BK62)</f>
        <v>92000</v>
      </c>
      <c r="BL63" s="3"/>
      <c r="BM63" s="54">
        <f>AVERAGE(BM8:BM62)</f>
        <v>1497.9230769230769</v>
      </c>
      <c r="BN63" s="62" t="s">
        <v>3</v>
      </c>
      <c r="BO63" s="3"/>
      <c r="BP63" s="3"/>
      <c r="BQ63" s="3"/>
      <c r="BR63" s="3"/>
      <c r="BS63" s="3"/>
      <c r="BV63" s="1" t="s">
        <v>5</v>
      </c>
      <c r="BW63" s="54">
        <f>SUM(BW8:BW62)</f>
        <v>2557977.56</v>
      </c>
      <c r="BX63" s="54">
        <f>SUM(BX8:BX62)</f>
        <v>99000</v>
      </c>
      <c r="BY63" s="54">
        <f>SUM(BY8:BY62)</f>
        <v>186000</v>
      </c>
      <c r="BZ63" s="3"/>
      <c r="CA63" s="54">
        <f>AVERAGE(CA8:CA62)</f>
        <v>2374.9423076923076</v>
      </c>
      <c r="CB63" s="62" t="s">
        <v>3</v>
      </c>
      <c r="CC63" s="3"/>
      <c r="CD63" s="3"/>
      <c r="CE63" s="3"/>
      <c r="CF63" s="3"/>
      <c r="CG63" s="3"/>
      <c r="CJ63" s="1" t="s">
        <v>5</v>
      </c>
      <c r="CK63" s="54">
        <f>SUM(CK8:CK62)</f>
        <v>2886000</v>
      </c>
      <c r="CL63" s="54">
        <f>SUM(CL8:CL62)</f>
        <v>29000</v>
      </c>
      <c r="CM63" s="54">
        <f>SUM(CM8:CM62)</f>
        <v>190000</v>
      </c>
      <c r="CN63" s="3"/>
      <c r="CO63" s="54">
        <f>AVERAGE(CO8:CO62)</f>
        <v>1588.1153846153845</v>
      </c>
      <c r="CP63" s="62" t="s">
        <v>3</v>
      </c>
      <c r="CQ63" s="3"/>
      <c r="CR63" s="3"/>
      <c r="CS63" s="3"/>
      <c r="CT63" s="3"/>
      <c r="CU63" s="3"/>
      <c r="CX63" s="1" t="s">
        <v>5</v>
      </c>
      <c r="CY63" s="54">
        <f>SUM(CY8:CY62)</f>
        <v>3144483.97585</v>
      </c>
      <c r="CZ63" s="54">
        <f>SUM(CZ8:CZ62)</f>
        <v>69100</v>
      </c>
      <c r="DA63" s="54">
        <f>SUM(DA8:DA62)</f>
        <v>0</v>
      </c>
      <c r="DB63" s="3"/>
      <c r="DC63" s="54">
        <f>AVERAGE(DC8:DC62)</f>
        <v>1712.8301886792453</v>
      </c>
      <c r="DD63" s="62" t="s">
        <v>3</v>
      </c>
      <c r="DE63" s="3"/>
      <c r="DF63" s="3"/>
      <c r="DG63" s="3"/>
      <c r="DH63" s="3"/>
      <c r="DI63" s="3"/>
      <c r="DL63" s="1" t="s">
        <v>5</v>
      </c>
      <c r="DM63" s="54">
        <f>SUM(DM8:DM62)</f>
        <v>1986000</v>
      </c>
      <c r="DN63" s="54">
        <f>SUM(DN8:DN62)</f>
        <v>18000</v>
      </c>
      <c r="DO63" s="54">
        <f>SUM(DO8:DO62)</f>
        <v>0</v>
      </c>
      <c r="DP63" s="3"/>
      <c r="DQ63" s="54">
        <f>AVERAGE(DQ8:DQ62)</f>
        <v>1676.8666666666666</v>
      </c>
      <c r="DR63" s="62" t="s">
        <v>3</v>
      </c>
      <c r="DS63" s="3"/>
      <c r="DT63" s="3"/>
      <c r="DU63" s="3"/>
      <c r="DV63" s="3"/>
      <c r="DW63" s="3"/>
    </row>
    <row r="64" spans="3:127">
      <c r="F64" s="3"/>
      <c r="G64" s="3"/>
      <c r="H64" s="3"/>
      <c r="I64" s="3"/>
      <c r="J64" s="3"/>
      <c r="K64" s="3"/>
      <c r="L64" s="3"/>
      <c r="M64" s="3"/>
      <c r="N64" s="3"/>
      <c r="O64" s="3"/>
      <c r="S64" s="3"/>
      <c r="T64" s="3"/>
      <c r="U64" s="3"/>
      <c r="V64" s="3"/>
      <c r="W64" s="3"/>
      <c r="X64" s="3"/>
      <c r="Y64" s="3"/>
      <c r="Z64" s="3"/>
      <c r="AA64" s="3"/>
      <c r="AB64" s="3"/>
      <c r="AC64" s="3"/>
      <c r="AD64" s="3"/>
      <c r="AG64" s="3"/>
      <c r="AH64" s="3"/>
      <c r="AI64" s="3"/>
      <c r="AJ64" s="3"/>
      <c r="AK64" s="3"/>
      <c r="AL64" s="3"/>
      <c r="AM64" s="3"/>
      <c r="AN64" s="3"/>
      <c r="AO64" s="3"/>
      <c r="AP64" s="3"/>
      <c r="AQ64" s="3"/>
      <c r="AR64" s="3"/>
      <c r="AU64" s="3"/>
      <c r="AV64" s="3"/>
      <c r="AW64" s="3"/>
      <c r="AX64" s="3"/>
      <c r="AY64" s="3"/>
      <c r="AZ64" s="3"/>
      <c r="BA64" s="3"/>
      <c r="BB64" s="3"/>
      <c r="BC64" s="3"/>
      <c r="BD64" s="3"/>
      <c r="BE64" s="3"/>
      <c r="BI64" s="3"/>
      <c r="BJ64" s="3"/>
      <c r="BK64" s="3"/>
      <c r="BL64" s="3"/>
      <c r="BM64" s="3"/>
      <c r="BN64" s="3"/>
      <c r="BO64" s="3"/>
      <c r="BP64" s="3"/>
      <c r="BQ64" s="3"/>
      <c r="BR64" s="3"/>
      <c r="BS64" s="3"/>
      <c r="BV64" s="15"/>
      <c r="BW64" s="18"/>
      <c r="BX64" s="18"/>
      <c r="BY64" s="3"/>
      <c r="BZ64" s="3"/>
      <c r="CA64" s="3"/>
      <c r="CB64" s="3"/>
      <c r="CC64" s="3"/>
      <c r="CD64" s="3"/>
      <c r="CE64" s="3"/>
      <c r="CF64" s="3"/>
      <c r="CG64" s="3"/>
      <c r="CK64" s="3"/>
      <c r="CL64" s="3"/>
      <c r="CM64" s="3"/>
      <c r="CN64" s="3"/>
      <c r="CO64" s="3"/>
      <c r="CP64" s="3"/>
      <c r="CQ64" s="3"/>
      <c r="CR64" s="3"/>
      <c r="CS64" s="3"/>
      <c r="CT64" s="3"/>
      <c r="CU64" s="3"/>
      <c r="CY64" s="3"/>
      <c r="CZ64" s="3"/>
      <c r="DA64" s="3"/>
      <c r="DB64" s="3"/>
      <c r="DC64" s="3"/>
      <c r="DD64" s="3"/>
      <c r="DE64" s="3"/>
      <c r="DF64" s="3"/>
      <c r="DG64" s="3"/>
      <c r="DH64" s="3"/>
      <c r="DI64" s="3"/>
      <c r="DM64" s="3"/>
      <c r="DN64" s="3"/>
      <c r="DO64" s="3"/>
      <c r="DP64" s="3"/>
      <c r="DQ64" s="3"/>
      <c r="DR64" s="3"/>
      <c r="DS64" s="3"/>
      <c r="DT64" s="3"/>
      <c r="DU64" s="3"/>
      <c r="DV64" s="3"/>
      <c r="DW64" s="3"/>
    </row>
    <row r="65" spans="3:127">
      <c r="D65" s="15"/>
      <c r="E65" s="16"/>
      <c r="F65" s="16"/>
      <c r="G65" s="28">
        <f>SUM(E63:G63)</f>
        <v>1626000</v>
      </c>
      <c r="H65" s="3"/>
      <c r="I65" s="3"/>
      <c r="J65" s="3"/>
      <c r="K65" s="3"/>
      <c r="L65" s="3"/>
      <c r="M65" s="3"/>
      <c r="N65" s="3"/>
      <c r="O65" s="3"/>
      <c r="S65" s="3"/>
      <c r="T65" s="3"/>
      <c r="U65" s="28">
        <f>SUM(S63:U63)</f>
        <v>2220783.3600000003</v>
      </c>
      <c r="V65" s="3"/>
      <c r="W65" s="3"/>
      <c r="X65" s="3"/>
      <c r="Y65" s="3"/>
      <c r="Z65" s="3"/>
      <c r="AA65" s="3"/>
      <c r="AB65" s="3"/>
      <c r="AC65" s="3"/>
      <c r="AD65" s="3"/>
      <c r="AG65" s="3"/>
      <c r="AH65" s="3"/>
      <c r="AI65" s="28">
        <f>SUM(AG63:AI63)</f>
        <v>2300000</v>
      </c>
      <c r="AJ65" s="3"/>
      <c r="AK65" s="3"/>
      <c r="AL65" s="3"/>
      <c r="AM65" s="3"/>
      <c r="AN65" s="3"/>
      <c r="AO65" s="3"/>
      <c r="AP65" s="3"/>
      <c r="AQ65" s="3"/>
      <c r="AR65" s="3"/>
      <c r="AU65" s="3"/>
      <c r="AV65" s="3"/>
      <c r="AW65" s="28">
        <f>SUM(AU63:AW63)</f>
        <v>2333094.94</v>
      </c>
      <c r="AX65" s="3"/>
      <c r="AY65" s="3"/>
      <c r="AZ65" s="3"/>
      <c r="BA65" s="3"/>
      <c r="BB65" s="3"/>
      <c r="BC65" s="3"/>
      <c r="BD65" s="3"/>
      <c r="BE65" s="3"/>
      <c r="BI65" s="3"/>
      <c r="BJ65" s="3"/>
      <c r="BK65" s="28">
        <f>SUM(BI63:BK63)</f>
        <v>2400289.34</v>
      </c>
      <c r="BL65" s="3"/>
      <c r="BM65" s="3"/>
      <c r="BN65" s="3"/>
      <c r="BO65" s="3"/>
      <c r="BP65" s="3"/>
      <c r="BQ65" s="3"/>
      <c r="BR65" s="3"/>
      <c r="BS65" s="3"/>
      <c r="BW65" s="3"/>
      <c r="BX65" s="3"/>
      <c r="BY65" s="28">
        <f>SUM(BW63:BY63)</f>
        <v>2842977.56</v>
      </c>
      <c r="BZ65" s="3"/>
      <c r="CA65" s="3"/>
      <c r="CB65" s="3"/>
      <c r="CC65" s="3"/>
      <c r="CD65" s="3"/>
      <c r="CE65" s="3"/>
      <c r="CF65" s="3"/>
      <c r="CG65" s="3"/>
      <c r="CK65" s="3"/>
      <c r="CL65" s="3"/>
      <c r="CM65" s="28">
        <f>SUM(CK63:CM63)</f>
        <v>3105000</v>
      </c>
      <c r="CN65" s="3"/>
      <c r="CO65" s="3"/>
      <c r="CP65" s="3"/>
      <c r="CQ65" s="3"/>
      <c r="CR65" s="3"/>
      <c r="CS65" s="3"/>
      <c r="CT65" s="3"/>
      <c r="CU65" s="3"/>
      <c r="CY65" s="3"/>
      <c r="CZ65" s="3"/>
      <c r="DA65" s="28">
        <f>SUM(CY63:DA63)</f>
        <v>3213583.97585</v>
      </c>
      <c r="DB65" s="3"/>
      <c r="DC65" s="3"/>
      <c r="DD65" s="3"/>
      <c r="DE65" s="3"/>
      <c r="DF65" s="3"/>
      <c r="DG65" s="3"/>
      <c r="DH65" s="3"/>
      <c r="DI65" s="3"/>
      <c r="DM65" s="3"/>
      <c r="DN65" s="3"/>
      <c r="DO65" s="28">
        <f>SUM(DM63:DO63)</f>
        <v>2004000</v>
      </c>
      <c r="DP65" s="3"/>
      <c r="DQ65" s="3"/>
      <c r="DR65" s="3"/>
      <c r="DS65" s="3"/>
      <c r="DT65" s="3"/>
      <c r="DU65" s="3"/>
      <c r="DV65" s="3"/>
      <c r="DW65" s="3"/>
    </row>
    <row r="66" spans="3:127">
      <c r="F66" s="3"/>
      <c r="G66" s="3"/>
      <c r="H66" s="3"/>
      <c r="I66" s="3"/>
      <c r="J66" s="3"/>
      <c r="K66" s="3"/>
      <c r="L66" s="3"/>
      <c r="M66" s="3"/>
      <c r="N66" s="3"/>
      <c r="O66" s="3"/>
      <c r="S66" s="3"/>
      <c r="T66" s="3"/>
      <c r="U66" s="3"/>
      <c r="V66" s="3"/>
      <c r="W66" s="3"/>
      <c r="X66" s="3"/>
      <c r="Y66" s="3"/>
      <c r="Z66" s="3"/>
      <c r="AA66" s="3"/>
      <c r="AB66" s="3"/>
      <c r="AC66" s="3"/>
      <c r="AD66" s="3"/>
      <c r="AG66" s="3"/>
      <c r="AH66" s="3"/>
      <c r="AI66" s="3"/>
      <c r="AJ66" s="3"/>
      <c r="AK66" s="3"/>
      <c r="AL66" s="3"/>
      <c r="AM66" s="3"/>
      <c r="AN66" s="3"/>
      <c r="AO66" s="3"/>
      <c r="AP66" s="3"/>
      <c r="AQ66" s="3"/>
      <c r="AR66" s="3"/>
      <c r="AU66" s="3"/>
      <c r="AV66" s="3"/>
      <c r="AW66" s="3"/>
      <c r="AX66" s="3"/>
      <c r="AY66" s="3"/>
      <c r="AZ66" s="3"/>
      <c r="BA66" s="3"/>
      <c r="BB66" s="3"/>
      <c r="BC66" s="3"/>
      <c r="BD66" s="3"/>
      <c r="BE66" s="3"/>
      <c r="BI66" s="3"/>
      <c r="BJ66" s="3"/>
      <c r="BK66" s="3"/>
      <c r="BL66" s="3"/>
      <c r="BM66" s="3"/>
      <c r="BN66" s="3"/>
      <c r="BO66" s="3"/>
      <c r="BP66" s="3"/>
      <c r="BQ66" s="3"/>
      <c r="BR66" s="3"/>
      <c r="BS66" s="3"/>
      <c r="BW66" s="3"/>
      <c r="BX66" s="3"/>
      <c r="BY66" s="3"/>
      <c r="BZ66" s="3"/>
      <c r="CA66" s="3"/>
      <c r="CB66" s="3"/>
      <c r="CC66" s="3"/>
      <c r="CD66" s="3"/>
      <c r="CE66" s="3"/>
      <c r="CF66" s="3"/>
      <c r="CG66" s="3"/>
      <c r="CK66" s="3"/>
      <c r="CL66" s="3"/>
      <c r="CM66" s="3"/>
      <c r="CN66" s="3"/>
      <c r="CO66" s="3"/>
      <c r="CP66" s="3"/>
      <c r="CQ66" s="3"/>
      <c r="CR66" s="3"/>
      <c r="CS66" s="3"/>
      <c r="CT66" s="3"/>
      <c r="CU66" s="3"/>
      <c r="CY66" s="3"/>
      <c r="CZ66" s="3"/>
      <c r="DA66" s="3"/>
      <c r="DB66" s="3"/>
      <c r="DC66" s="3"/>
      <c r="DD66" s="3"/>
      <c r="DE66" s="3"/>
      <c r="DF66" s="3"/>
      <c r="DG66" s="3"/>
      <c r="DH66" s="3"/>
      <c r="DI66" s="3"/>
      <c r="DM66" s="3"/>
      <c r="DN66" s="3"/>
      <c r="DO66" s="3"/>
      <c r="DP66" s="3"/>
      <c r="DQ66" s="3"/>
      <c r="DR66" s="3"/>
      <c r="DS66" s="3"/>
      <c r="DT66" s="3"/>
      <c r="DU66" s="3"/>
      <c r="DV66" s="3"/>
      <c r="DW66" s="3"/>
    </row>
    <row r="67" spans="3:127">
      <c r="S67" s="3"/>
      <c r="T67" s="3"/>
      <c r="U67" s="3"/>
      <c r="V67" s="3"/>
      <c r="W67" s="3"/>
      <c r="X67" s="3"/>
      <c r="Y67" s="3"/>
      <c r="Z67" s="3"/>
      <c r="AA67" s="3"/>
      <c r="AB67" s="3"/>
      <c r="AC67" s="3"/>
      <c r="AD67" s="3"/>
    </row>
    <row r="68" spans="3:127">
      <c r="C68" s="107" t="s">
        <v>349</v>
      </c>
      <c r="G68" s="38">
        <v>1300000</v>
      </c>
      <c r="Q68" s="107" t="s">
        <v>349</v>
      </c>
      <c r="S68" s="3"/>
      <c r="U68" s="38">
        <v>1700000</v>
      </c>
      <c r="V68" s="3"/>
      <c r="W68" s="3"/>
      <c r="X68" s="3"/>
      <c r="Y68" s="3"/>
      <c r="Z68" s="3"/>
      <c r="AA68" s="3"/>
      <c r="AB68" s="3"/>
      <c r="AC68" s="3"/>
      <c r="AD68" s="3"/>
      <c r="AE68" s="107" t="s">
        <v>349</v>
      </c>
      <c r="AG68" s="3"/>
      <c r="AI68" s="38">
        <v>1900000</v>
      </c>
      <c r="AS68" s="107" t="s">
        <v>349</v>
      </c>
      <c r="AU68" s="3"/>
      <c r="AW68" s="38">
        <v>2000000</v>
      </c>
      <c r="BG68" s="107" t="s">
        <v>349</v>
      </c>
      <c r="BI68" s="3"/>
      <c r="BK68" s="38">
        <v>2000000</v>
      </c>
      <c r="BU68" s="107" t="s">
        <v>349</v>
      </c>
      <c r="BW68" s="3"/>
      <c r="BY68" s="38">
        <v>2400000</v>
      </c>
      <c r="CI68" s="107" t="s">
        <v>349</v>
      </c>
      <c r="CK68" s="3"/>
      <c r="CM68" s="38">
        <v>3000000</v>
      </c>
      <c r="CW68" s="107" t="s">
        <v>349</v>
      </c>
      <c r="CY68" s="3"/>
      <c r="DA68" s="38">
        <v>3200000</v>
      </c>
      <c r="DK68" s="107" t="s">
        <v>349</v>
      </c>
      <c r="DM68" s="3"/>
      <c r="DO68" s="38">
        <v>3400000</v>
      </c>
    </row>
    <row r="69" spans="3:127">
      <c r="C69" s="1" t="s">
        <v>348</v>
      </c>
      <c r="G69" s="38">
        <v>1600000</v>
      </c>
      <c r="Q69" s="1" t="s">
        <v>348</v>
      </c>
      <c r="S69" s="3"/>
      <c r="U69" s="38">
        <v>2200000</v>
      </c>
      <c r="AE69" s="1" t="s">
        <v>348</v>
      </c>
      <c r="AG69" s="3"/>
      <c r="AI69" s="38">
        <v>2250000</v>
      </c>
      <c r="AS69" s="1" t="s">
        <v>348</v>
      </c>
      <c r="AU69" s="3"/>
      <c r="AW69" s="38">
        <v>2300000</v>
      </c>
      <c r="BG69" s="1" t="s">
        <v>348</v>
      </c>
      <c r="BI69" s="3"/>
      <c r="BK69" s="38">
        <v>2350000</v>
      </c>
      <c r="BU69" s="1" t="s">
        <v>348</v>
      </c>
      <c r="BW69" s="3"/>
      <c r="BY69" s="38">
        <v>2700000</v>
      </c>
      <c r="CI69" s="1" t="s">
        <v>348</v>
      </c>
      <c r="CK69" s="3"/>
      <c r="CM69" s="38">
        <v>3050000</v>
      </c>
      <c r="CW69" s="1" t="s">
        <v>348</v>
      </c>
      <c r="CY69" s="3"/>
      <c r="DA69" s="38">
        <v>3250000</v>
      </c>
      <c r="DK69" s="1" t="s">
        <v>348</v>
      </c>
      <c r="DM69" s="3"/>
      <c r="DO69" s="38">
        <v>3450000</v>
      </c>
    </row>
  </sheetData>
  <mergeCells count="18">
    <mergeCell ref="DN6:DO6"/>
    <mergeCell ref="DT6:DW6"/>
    <mergeCell ref="DF6:DI6"/>
    <mergeCell ref="BX6:BY6"/>
    <mergeCell ref="CD6:CG6"/>
    <mergeCell ref="CL6:CM6"/>
    <mergeCell ref="CR6:CU6"/>
    <mergeCell ref="CZ6:DA6"/>
    <mergeCell ref="AN6:AQ6"/>
    <mergeCell ref="AV6:AW6"/>
    <mergeCell ref="BB6:BE6"/>
    <mergeCell ref="BJ6:BK6"/>
    <mergeCell ref="BP6:BS6"/>
    <mergeCell ref="L6:O6"/>
    <mergeCell ref="F6:G6"/>
    <mergeCell ref="T6:U6"/>
    <mergeCell ref="Z6:AC6"/>
    <mergeCell ref="AH6:AI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Summary</vt:lpstr>
      <vt:lpstr>Forecast to Actual</vt:lpstr>
      <vt:lpstr>Offerings calcs analysis</vt:lpstr>
      <vt:lpstr>Revenue projections</vt:lpstr>
      <vt:lpstr>Attendance analysis</vt:lpstr>
      <vt:lpstr>Attendee giving analysis</vt:lpstr>
      <vt:lpstr>Source data</vt:lpstr>
      <vt:lpstr>'Forecast to Actual'!Attend</vt:lpstr>
      <vt:lpstr>Attend</vt:lpstr>
      <vt:lpstr>BudgetedOffering</vt:lpstr>
      <vt:lpstr>BudgetedTotalRevenue</vt:lpstr>
      <vt:lpstr>Client</vt:lpstr>
      <vt:lpstr>Date</vt:lpstr>
      <vt:lpstr>FileName</vt:lpstr>
      <vt:lpstr>PercentOfYear</vt:lpstr>
      <vt:lpstr>ProjBudgetTrigger</vt:lpstr>
      <vt:lpstr>'Forecast to Actual'!Rate</vt:lpstr>
      <vt:lpstr>Rate</vt:lpstr>
      <vt:lpstr>RecentWeek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Beaumont</dc:creator>
  <cp:lastModifiedBy>Jim</cp:lastModifiedBy>
  <cp:lastPrinted>2011-11-04T02:31:37Z</cp:lastPrinted>
  <dcterms:created xsi:type="dcterms:W3CDTF">2009-08-03T03:16:35Z</dcterms:created>
  <dcterms:modified xsi:type="dcterms:W3CDTF">2013-09-19T04:53:49Z</dcterms:modified>
</cp:coreProperties>
</file>